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kiman\Downloads\"/>
    </mc:Choice>
  </mc:AlternateContent>
  <xr:revisionPtr revIDLastSave="0" documentId="13_ncr:1_{B8A9C46A-54A4-470D-85E8-FF77006EC2B1}" xr6:coauthVersionLast="47" xr6:coauthVersionMax="47" xr10:uidLastSave="{00000000-0000-0000-0000-000000000000}"/>
  <bookViews>
    <workbookView xWindow="-120" yWindow="-120" windowWidth="29040" windowHeight="15720" tabRatio="597" xr2:uid="{00000000-000D-0000-FFFF-FFFF00000000}"/>
  </bookViews>
  <sheets>
    <sheet name="Mack-1" sheetId="2" r:id="rId1"/>
    <sheet name="MACK-2" sheetId="3" r:id="rId2"/>
  </sheets>
  <definedNames>
    <definedName name="ActualNumberOfPayments">IFERROR(IF(LoanIsGood,IF(PaymentsPerYear=1,1,MATCH(0.01,End_Bal,-1)+1)),"")</definedName>
    <definedName name="ColumnTitle1">PaymentSchedule[[#Headers],[PMT NO]]</definedName>
    <definedName name="End_Bal">PaymentSchedule[ENDING BALANCE]</definedName>
    <definedName name="ExtraPayments">'Mack-1'!$D$11</definedName>
    <definedName name="InterestRate">'Mack-1'!$D$7</definedName>
    <definedName name="LastCol">MATCH(REPT("z",255),'Mack-1'!$26:$26)</definedName>
    <definedName name="LastRow">MATCH(9.99E+307,'Mack-1'!$B:$B)</definedName>
    <definedName name="LenderName">'Mack-1'!#REF!</definedName>
    <definedName name="LoanAmount">'Mack-1'!$G$3</definedName>
    <definedName name="LoanIsGood">('Mack-1'!$G$3*'Mack-1'!$D$7*'Mack-1'!$D$8*'Mack-1'!$D$10)&gt;0</definedName>
    <definedName name="LoanPeriod">'Mack-1'!$D$8</definedName>
    <definedName name="LoanStartDate">'Mack-1'!$D$10</definedName>
    <definedName name="PaymentsPerYear">'Mack-1'!$D$9</definedName>
    <definedName name="_xlnm.Print_Titles" localSheetId="0">'Mack-1'!$26:$26</definedName>
    <definedName name="PrintArea_SET">OFFSET('Mack-1'!$B$1,,,LastRow,LastCol)</definedName>
    <definedName name="RowTitleRegion1..E9">'Mack-1'!$F$3:$G$3</definedName>
    <definedName name="RowTitleRegion2..I7">'Mack-1'!$F$4:$G$4</definedName>
    <definedName name="RowTitleRegion3..E9">'Mack-1'!$B$11</definedName>
    <definedName name="RowTitleRegion4..H9">'Mack-1'!#REF!</definedName>
    <definedName name="ScheduledNumberOfPayments">'Mack-1'!$G$6</definedName>
    <definedName name="ScheduledPayment">'Mack-1'!$G$4</definedName>
    <definedName name="TotalEarlyPayments">SUM(PaymentSchedule[EXTRA PAYMENT])</definedName>
    <definedName name="TotalInterest">SUM(PaymentSchedule[INTEREST])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23" i="2" l="1"/>
  <c r="K21" i="2"/>
  <c r="G19" i="2" s="1"/>
  <c r="D5" i="2"/>
  <c r="D6" i="2" s="1"/>
  <c r="K24" i="2" s="1"/>
  <c r="K5" i="2"/>
  <c r="K4" i="2"/>
  <c r="G20" i="2" s="1"/>
  <c r="K16" i="2"/>
  <c r="K25" i="2" l="1"/>
  <c r="D15" i="2"/>
  <c r="G3" i="2"/>
  <c r="G6" i="2" s="1"/>
  <c r="K17" i="2"/>
  <c r="D24" i="2" l="1"/>
  <c r="G24" i="2" s="1"/>
  <c r="B186" i="2"/>
  <c r="C186" i="2" s="1"/>
  <c r="B333" i="2"/>
  <c r="C333" i="2" s="1"/>
  <c r="B296" i="2"/>
  <c r="C296" i="2" s="1"/>
  <c r="B134" i="2"/>
  <c r="C134" i="2" s="1"/>
  <c r="B284" i="2"/>
  <c r="C284" i="2" s="1"/>
  <c r="B225" i="2"/>
  <c r="C225" i="2" s="1"/>
  <c r="B55" i="2"/>
  <c r="C55" i="2" s="1"/>
  <c r="B271" i="2"/>
  <c r="C271" i="2" s="1"/>
  <c r="B234" i="2"/>
  <c r="C234" i="2" s="1"/>
  <c r="B350" i="2"/>
  <c r="C350" i="2" s="1"/>
  <c r="B29" i="2"/>
  <c r="C29" i="2" s="1"/>
  <c r="B153" i="2"/>
  <c r="C153" i="2" s="1"/>
  <c r="B73" i="2"/>
  <c r="C73" i="2" s="1"/>
  <c r="B103" i="2"/>
  <c r="C103" i="2" s="1"/>
  <c r="B290" i="2"/>
  <c r="C290" i="2" s="1"/>
  <c r="B250" i="2"/>
  <c r="C250" i="2" s="1"/>
  <c r="B356" i="2"/>
  <c r="C356" i="2" s="1"/>
  <c r="B278" i="2"/>
  <c r="C278" i="2" s="1"/>
  <c r="B43" i="2"/>
  <c r="C43" i="2" s="1"/>
  <c r="B167" i="2"/>
  <c r="C167" i="2" s="1"/>
  <c r="B205" i="2"/>
  <c r="C205" i="2" s="1"/>
  <c r="B262" i="2"/>
  <c r="C262" i="2" s="1"/>
  <c r="B88" i="2"/>
  <c r="C88" i="2" s="1"/>
  <c r="B381" i="2"/>
  <c r="C381" i="2" s="1"/>
  <c r="B31" i="2"/>
  <c r="C31" i="2" s="1"/>
  <c r="B214" i="2"/>
  <c r="C214" i="2" s="1"/>
  <c r="B364" i="2"/>
  <c r="C364" i="2" s="1"/>
  <c r="B336" i="2"/>
  <c r="C336" i="2" s="1"/>
  <c r="B38" i="2"/>
  <c r="C38" i="2" s="1"/>
  <c r="B169" i="2"/>
  <c r="C169" i="2" s="1"/>
  <c r="B114" i="2"/>
  <c r="C114" i="2" s="1"/>
  <c r="B117" i="2"/>
  <c r="C117" i="2" s="1"/>
  <c r="B238" i="2"/>
  <c r="C238" i="2" s="1"/>
  <c r="B323" i="2"/>
  <c r="C323" i="2" s="1"/>
  <c r="B303" i="2"/>
  <c r="C303" i="2" s="1"/>
  <c r="B66" i="2"/>
  <c r="C66" i="2" s="1"/>
  <c r="B166" i="2"/>
  <c r="C166" i="2" s="1"/>
  <c r="B150" i="2"/>
  <c r="C150" i="2" s="1"/>
  <c r="B315" i="2"/>
  <c r="C315" i="2" s="1"/>
  <c r="B46" i="2"/>
  <c r="C46" i="2" s="1"/>
  <c r="B146" i="2"/>
  <c r="C146" i="2" s="1"/>
  <c r="B142" i="2"/>
  <c r="C142" i="2" s="1"/>
  <c r="B37" i="2"/>
  <c r="C37" i="2" s="1"/>
  <c r="B122" i="2"/>
  <c r="C122" i="2" s="1"/>
  <c r="B131" i="2"/>
  <c r="C131" i="2" s="1"/>
  <c r="B59" i="2"/>
  <c r="C59" i="2" s="1"/>
  <c r="B82" i="2"/>
  <c r="C82" i="2" s="1"/>
  <c r="B110" i="2"/>
  <c r="C110" i="2" s="1"/>
  <c r="B314" i="2"/>
  <c r="B219" i="2"/>
  <c r="C219" i="2" s="1"/>
  <c r="B239" i="2"/>
  <c r="C239" i="2" s="1"/>
  <c r="B49" i="2"/>
  <c r="C49" i="2" s="1"/>
  <c r="B99" i="2"/>
  <c r="B170" i="2"/>
  <c r="B80" i="2"/>
  <c r="B32" i="2"/>
  <c r="B102" i="2"/>
  <c r="B354" i="2"/>
  <c r="B299" i="2"/>
  <c r="B96" i="2"/>
  <c r="B342" i="2"/>
  <c r="B345" i="2"/>
  <c r="B223" i="2"/>
  <c r="B287" i="2"/>
  <c r="B136" i="2"/>
  <c r="B307" i="2"/>
  <c r="B115" i="2"/>
  <c r="B132" i="2"/>
  <c r="B216" i="2"/>
  <c r="B344" i="2"/>
  <c r="B259" i="2"/>
  <c r="B160" i="2"/>
  <c r="B272" i="2"/>
  <c r="B360" i="2"/>
  <c r="B249" i="2"/>
  <c r="B268" i="2"/>
  <c r="B366" i="2"/>
  <c r="B298" i="2"/>
  <c r="B352" i="2"/>
  <c r="B253" i="2"/>
  <c r="B310" i="2"/>
  <c r="B365" i="2"/>
  <c r="B386" i="2"/>
  <c r="B231" i="2"/>
  <c r="B295" i="2"/>
  <c r="B319" i="2"/>
  <c r="B188" i="2"/>
  <c r="B267" i="2"/>
  <c r="B199" i="2"/>
  <c r="B194" i="2"/>
  <c r="B164" i="2"/>
  <c r="B65" i="2"/>
  <c r="B292" i="2"/>
  <c r="B339" i="2"/>
  <c r="B308" i="2"/>
  <c r="B176" i="2"/>
  <c r="B340" i="2"/>
  <c r="B130" i="2"/>
  <c r="B69" i="2"/>
  <c r="B63" i="2"/>
  <c r="B224" i="2"/>
  <c r="B375" i="2"/>
  <c r="B355" i="2"/>
  <c r="B288" i="2"/>
  <c r="B197" i="2"/>
  <c r="B285" i="2"/>
  <c r="B241" i="2"/>
  <c r="B383" i="2"/>
  <c r="B347" i="2"/>
  <c r="B286" i="2"/>
  <c r="B165" i="2"/>
  <c r="B254" i="2"/>
  <c r="B185" i="2"/>
  <c r="B289" i="2"/>
  <c r="B255" i="2"/>
  <c r="B283" i="2"/>
  <c r="B81" i="2"/>
  <c r="B126" i="2"/>
  <c r="B294" i="2"/>
  <c r="B325" i="2"/>
  <c r="B84" i="2"/>
  <c r="B369" i="2"/>
  <c r="B261" i="2"/>
  <c r="B228" i="2"/>
  <c r="B137" i="2"/>
  <c r="B107" i="2"/>
  <c r="B328" i="2"/>
  <c r="B192" i="2"/>
  <c r="B154" i="2"/>
  <c r="B172" i="2"/>
  <c r="B248" i="2"/>
  <c r="B332" i="2"/>
  <c r="B179" i="2"/>
  <c r="B74" i="2"/>
  <c r="B61" i="2"/>
  <c r="B353" i="2"/>
  <c r="B83" i="2"/>
  <c r="B226" i="2"/>
  <c r="B162" i="2"/>
  <c r="B75" i="2"/>
  <c r="B281" i="2"/>
  <c r="B156" i="2"/>
  <c r="B118" i="2"/>
  <c r="B76" i="2"/>
  <c r="B34" i="2"/>
  <c r="B244" i="2"/>
  <c r="B376" i="2"/>
  <c r="B230" i="2"/>
  <c r="B175" i="2"/>
  <c r="B242" i="2"/>
  <c r="B158" i="2"/>
  <c r="B349" i="2"/>
  <c r="B311" i="2"/>
  <c r="B243" i="2"/>
  <c r="B90" i="2"/>
  <c r="B246" i="2"/>
  <c r="B89" i="2"/>
  <c r="B358" i="2"/>
  <c r="B227" i="2"/>
  <c r="B379" i="2"/>
  <c r="B139" i="2"/>
  <c r="B138" i="2"/>
  <c r="B47" i="2"/>
  <c r="B182" i="2"/>
  <c r="B178" i="2"/>
  <c r="B210" i="2"/>
  <c r="B215" i="2"/>
  <c r="B171" i="2"/>
  <c r="B343" i="2"/>
  <c r="B124" i="2"/>
  <c r="B258" i="2"/>
  <c r="B52" i="2"/>
  <c r="B157" i="2"/>
  <c r="B42" i="2"/>
  <c r="B51" i="2"/>
  <c r="B351" i="2"/>
  <c r="B53" i="2"/>
  <c r="B247" i="2"/>
  <c r="B371" i="2"/>
  <c r="B78" i="2"/>
  <c r="B212" i="2"/>
  <c r="B382" i="2"/>
  <c r="B121" i="2"/>
  <c r="B265" i="2"/>
  <c r="B306" i="2"/>
  <c r="B362" i="2"/>
  <c r="B367" i="2"/>
  <c r="B35" i="2"/>
  <c r="B282" i="2"/>
  <c r="B270" i="2"/>
  <c r="B338" i="2"/>
  <c r="B120" i="2"/>
  <c r="B207" i="2"/>
  <c r="G4" i="2"/>
  <c r="B211" i="2"/>
  <c r="B187" i="2"/>
  <c r="B229" i="2"/>
  <c r="B217" i="2"/>
  <c r="B41" i="2"/>
  <c r="B280" i="2"/>
  <c r="B181" i="2"/>
  <c r="B341" i="2"/>
  <c r="B191" i="2"/>
  <c r="B72" i="2"/>
  <c r="B318" i="2"/>
  <c r="B206" i="2"/>
  <c r="B79" i="2"/>
  <c r="B305" i="2"/>
  <c r="B148" i="2"/>
  <c r="B377" i="2"/>
  <c r="B263" i="2"/>
  <c r="B163" i="2"/>
  <c r="B33" i="2"/>
  <c r="B196" i="2"/>
  <c r="B60" i="2"/>
  <c r="B276" i="2"/>
  <c r="B183" i="2"/>
  <c r="B374" i="2"/>
  <c r="B209" i="2"/>
  <c r="B98" i="2"/>
  <c r="B330" i="2"/>
  <c r="B232" i="2"/>
  <c r="B105" i="2"/>
  <c r="B324" i="2"/>
  <c r="B180" i="2"/>
  <c r="B64" i="2"/>
  <c r="B198" i="2"/>
  <c r="B300" i="2"/>
  <c r="B370" i="2"/>
  <c r="B155" i="2"/>
  <c r="B68" i="2"/>
  <c r="B301" i="2"/>
  <c r="B368" i="2"/>
  <c r="B143" i="2"/>
  <c r="B127" i="2"/>
  <c r="B95" i="2"/>
  <c r="B320" i="2"/>
  <c r="B93" i="2"/>
  <c r="B106" i="2"/>
  <c r="B236" i="2"/>
  <c r="B269" i="2"/>
  <c r="B372" i="2"/>
  <c r="B149" i="2"/>
  <c r="B221" i="2"/>
  <c r="B322" i="2"/>
  <c r="B85" i="2"/>
  <c r="B100" i="2"/>
  <c r="B237" i="2"/>
  <c r="B297" i="2"/>
  <c r="B36" i="2"/>
  <c r="B174" i="2"/>
  <c r="B260" i="2"/>
  <c r="B313" i="2"/>
  <c r="B140" i="2"/>
  <c r="B28" i="2"/>
  <c r="B112" i="2"/>
  <c r="B380" i="2"/>
  <c r="B97" i="2"/>
  <c r="B147" i="2"/>
  <c r="B208" i="2"/>
  <c r="B54" i="2"/>
  <c r="B273" i="2"/>
  <c r="B168" i="2"/>
  <c r="B177" i="2"/>
  <c r="B279" i="2"/>
  <c r="B184" i="2"/>
  <c r="B141" i="2"/>
  <c r="B317" i="2"/>
  <c r="B233" i="2"/>
  <c r="B218" i="2"/>
  <c r="B361" i="2"/>
  <c r="B329" i="2"/>
  <c r="B327" i="2"/>
  <c r="B213" i="2"/>
  <c r="B40" i="2"/>
  <c r="B252" i="2"/>
  <c r="B373" i="2"/>
  <c r="B44" i="2"/>
  <c r="B113" i="2"/>
  <c r="B251" i="2"/>
  <c r="B86" i="2"/>
  <c r="B357" i="2"/>
  <c r="B91" i="2"/>
  <c r="B274" i="2"/>
  <c r="B129" i="2"/>
  <c r="B257" i="2"/>
  <c r="B293" i="2"/>
  <c r="B302" i="2"/>
  <c r="B335" i="2"/>
  <c r="B384" i="2"/>
  <c r="B326" i="2"/>
  <c r="B45" i="2"/>
  <c r="B193" i="2"/>
  <c r="B235" i="2"/>
  <c r="B245" i="2"/>
  <c r="B359" i="2"/>
  <c r="B123" i="2"/>
  <c r="B304" i="2"/>
  <c r="B378" i="2"/>
  <c r="B133" i="2"/>
  <c r="B220" i="2"/>
  <c r="B144" i="2"/>
  <c r="B71" i="2"/>
  <c r="B128" i="2"/>
  <c r="B92" i="2"/>
  <c r="B109" i="2"/>
  <c r="B77" i="2"/>
  <c r="B152" i="2"/>
  <c r="B331" i="2"/>
  <c r="B312" i="2"/>
  <c r="B240" i="2"/>
  <c r="B316" i="2"/>
  <c r="B385" i="2"/>
  <c r="B202" i="2"/>
  <c r="B39" i="2"/>
  <c r="B200" i="2"/>
  <c r="B108" i="2"/>
  <c r="B111" i="2"/>
  <c r="B67" i="2"/>
  <c r="B204" i="2"/>
  <c r="B190" i="2"/>
  <c r="B201" i="2"/>
  <c r="B266" i="2"/>
  <c r="B346" i="2"/>
  <c r="B195" i="2"/>
  <c r="B94" i="2"/>
  <c r="B57" i="2"/>
  <c r="B337" i="2"/>
  <c r="B222" i="2"/>
  <c r="B58" i="2"/>
  <c r="B48" i="2"/>
  <c r="B334" i="2"/>
  <c r="B125" i="2"/>
  <c r="B189" i="2"/>
  <c r="B104" i="2"/>
  <c r="B275" i="2"/>
  <c r="B27" i="2"/>
  <c r="B173" i="2"/>
  <c r="B321" i="2"/>
  <c r="B62" i="2"/>
  <c r="B159" i="2"/>
  <c r="B363" i="2"/>
  <c r="B256" i="2"/>
  <c r="B87" i="2"/>
  <c r="B348" i="2"/>
  <c r="B101" i="2"/>
  <c r="B264" i="2"/>
  <c r="B119" i="2"/>
  <c r="B277" i="2"/>
  <c r="B30" i="2"/>
  <c r="B145" i="2"/>
  <c r="B116" i="2"/>
  <c r="B151" i="2"/>
  <c r="B309" i="2"/>
  <c r="B70" i="2"/>
  <c r="B50" i="2"/>
  <c r="B291" i="2"/>
  <c r="B135" i="2"/>
  <c r="B161" i="2"/>
  <c r="B203" i="2"/>
  <c r="B56" i="2"/>
  <c r="E296" i="2" l="1"/>
  <c r="E356" i="2"/>
  <c r="E336" i="2"/>
  <c r="E350" i="2"/>
  <c r="E290" i="2"/>
  <c r="E333" i="2"/>
  <c r="E284" i="2"/>
  <c r="E303" i="2"/>
  <c r="E271" i="2"/>
  <c r="E323" i="2"/>
  <c r="E381" i="2"/>
  <c r="E315" i="2"/>
  <c r="E219" i="2"/>
  <c r="E364" i="2"/>
  <c r="C314" i="2"/>
  <c r="E314" i="2"/>
  <c r="E278" i="2"/>
  <c r="E214" i="2"/>
  <c r="E250" i="2"/>
  <c r="E238" i="2"/>
  <c r="E225" i="2"/>
  <c r="E239" i="2"/>
  <c r="E262" i="2"/>
  <c r="E234" i="2"/>
  <c r="E146" i="2"/>
  <c r="C116" i="2"/>
  <c r="E116" i="2"/>
  <c r="C87" i="2"/>
  <c r="E87" i="2"/>
  <c r="C275" i="2"/>
  <c r="E275" i="2"/>
  <c r="E346" i="2"/>
  <c r="C346" i="2"/>
  <c r="C316" i="2"/>
  <c r="E316" i="2"/>
  <c r="C144" i="2"/>
  <c r="E144" i="2"/>
  <c r="C384" i="2"/>
  <c r="E384" i="2"/>
  <c r="E357" i="2"/>
  <c r="C357" i="2"/>
  <c r="C218" i="2"/>
  <c r="E218" i="2"/>
  <c r="C97" i="2"/>
  <c r="E97" i="2"/>
  <c r="C85" i="2"/>
  <c r="E85" i="2"/>
  <c r="C93" i="2"/>
  <c r="E93" i="2"/>
  <c r="C232" i="2"/>
  <c r="E232" i="2"/>
  <c r="G5" i="2"/>
  <c r="E49" i="2"/>
  <c r="E362" i="2"/>
  <c r="C362" i="2"/>
  <c r="E42" i="2"/>
  <c r="C42" i="2"/>
  <c r="E138" i="2"/>
  <c r="C138" i="2"/>
  <c r="E82" i="2"/>
  <c r="E150" i="2"/>
  <c r="E117" i="2"/>
  <c r="C89" i="2"/>
  <c r="E89" i="2"/>
  <c r="C175" i="2"/>
  <c r="E175" i="2"/>
  <c r="E281" i="2"/>
  <c r="C281" i="2"/>
  <c r="C179" i="2"/>
  <c r="E179" i="2"/>
  <c r="C137" i="2"/>
  <c r="E137" i="2"/>
  <c r="C81" i="2"/>
  <c r="E81" i="2"/>
  <c r="E347" i="2"/>
  <c r="C347" i="2"/>
  <c r="E153" i="2"/>
  <c r="C63" i="2"/>
  <c r="E63" i="2"/>
  <c r="C65" i="2"/>
  <c r="E65" i="2"/>
  <c r="C231" i="2"/>
  <c r="E231" i="2"/>
  <c r="E268" i="2"/>
  <c r="C268" i="2"/>
  <c r="C132" i="2"/>
  <c r="E132" i="2"/>
  <c r="C96" i="2"/>
  <c r="E96" i="2"/>
  <c r="C70" i="2"/>
  <c r="E70" i="2"/>
  <c r="E264" i="2"/>
  <c r="C264" i="2"/>
  <c r="E321" i="2"/>
  <c r="C321" i="2"/>
  <c r="C48" i="2"/>
  <c r="E48" i="2"/>
  <c r="C266" i="2"/>
  <c r="E266" i="2"/>
  <c r="C67" i="2"/>
  <c r="E67" i="2"/>
  <c r="C39" i="2"/>
  <c r="E39" i="2"/>
  <c r="E240" i="2"/>
  <c r="C240" i="2"/>
  <c r="E122" i="2"/>
  <c r="C92" i="2"/>
  <c r="E92" i="2"/>
  <c r="E220" i="2"/>
  <c r="C220" i="2"/>
  <c r="C123" i="2"/>
  <c r="E123" i="2"/>
  <c r="C193" i="2"/>
  <c r="E193" i="2"/>
  <c r="E335" i="2"/>
  <c r="C335" i="2"/>
  <c r="C129" i="2"/>
  <c r="E129" i="2"/>
  <c r="C86" i="2"/>
  <c r="E86" i="2"/>
  <c r="E373" i="2"/>
  <c r="C373" i="2"/>
  <c r="C327" i="2"/>
  <c r="E327" i="2"/>
  <c r="C233" i="2"/>
  <c r="E233" i="2"/>
  <c r="C279" i="2"/>
  <c r="E279" i="2"/>
  <c r="C54" i="2"/>
  <c r="E54" i="2"/>
  <c r="E380" i="2"/>
  <c r="C380" i="2"/>
  <c r="C313" i="2"/>
  <c r="E313" i="2"/>
  <c r="C297" i="2"/>
  <c r="E297" i="2"/>
  <c r="E322" i="2"/>
  <c r="C322" i="2"/>
  <c r="E269" i="2"/>
  <c r="C269" i="2"/>
  <c r="E320" i="2"/>
  <c r="C320" i="2"/>
  <c r="C368" i="2"/>
  <c r="E368" i="2"/>
  <c r="C370" i="2"/>
  <c r="E370" i="2"/>
  <c r="C180" i="2"/>
  <c r="E180" i="2"/>
  <c r="E330" i="2"/>
  <c r="C330" i="2"/>
  <c r="C183" i="2"/>
  <c r="E183" i="2"/>
  <c r="C33" i="2"/>
  <c r="E33" i="2"/>
  <c r="C148" i="2"/>
  <c r="E148" i="2"/>
  <c r="C318" i="2"/>
  <c r="E318" i="2"/>
  <c r="C181" i="2"/>
  <c r="E181" i="2"/>
  <c r="C229" i="2"/>
  <c r="E229" i="2"/>
  <c r="C207" i="2"/>
  <c r="E207" i="2"/>
  <c r="C282" i="2"/>
  <c r="E282" i="2"/>
  <c r="E306" i="2"/>
  <c r="C306" i="2"/>
  <c r="C212" i="2"/>
  <c r="E212" i="2"/>
  <c r="C53" i="2"/>
  <c r="E53" i="2"/>
  <c r="C157" i="2"/>
  <c r="E157" i="2"/>
  <c r="C343" i="2"/>
  <c r="E343" i="2"/>
  <c r="C178" i="2"/>
  <c r="E178" i="2"/>
  <c r="C139" i="2"/>
  <c r="E139" i="2"/>
  <c r="C246" i="2"/>
  <c r="E246" i="2"/>
  <c r="E349" i="2"/>
  <c r="C349" i="2"/>
  <c r="C230" i="2"/>
  <c r="E230" i="2"/>
  <c r="C76" i="2"/>
  <c r="E76" i="2"/>
  <c r="C75" i="2"/>
  <c r="E75" i="2"/>
  <c r="C353" i="2"/>
  <c r="E353" i="2"/>
  <c r="C332" i="2"/>
  <c r="E332" i="2"/>
  <c r="C192" i="2"/>
  <c r="E192" i="2"/>
  <c r="C228" i="2"/>
  <c r="E228" i="2"/>
  <c r="C325" i="2"/>
  <c r="E325" i="2"/>
  <c r="E283" i="2"/>
  <c r="C283" i="2"/>
  <c r="C254" i="2"/>
  <c r="E254" i="2"/>
  <c r="C383" i="2"/>
  <c r="E383" i="2"/>
  <c r="E355" i="2"/>
  <c r="C355" i="2"/>
  <c r="C69" i="2"/>
  <c r="E69" i="2"/>
  <c r="E308" i="2"/>
  <c r="C308" i="2"/>
  <c r="C164" i="2"/>
  <c r="E164" i="2"/>
  <c r="C188" i="2"/>
  <c r="E188" i="2"/>
  <c r="C386" i="2"/>
  <c r="E386" i="2"/>
  <c r="E352" i="2"/>
  <c r="C352" i="2"/>
  <c r="E249" i="2"/>
  <c r="C249" i="2"/>
  <c r="E259" i="2"/>
  <c r="C259" i="2"/>
  <c r="C115" i="2"/>
  <c r="E115" i="2"/>
  <c r="C223" i="2"/>
  <c r="E223" i="2"/>
  <c r="C299" i="2"/>
  <c r="E299" i="2"/>
  <c r="C80" i="2"/>
  <c r="E80" i="2"/>
  <c r="E38" i="2"/>
  <c r="E186" i="2"/>
  <c r="C203" i="2"/>
  <c r="E203" i="2"/>
  <c r="C119" i="2"/>
  <c r="E119" i="2"/>
  <c r="C334" i="2"/>
  <c r="E334" i="2"/>
  <c r="C204" i="2"/>
  <c r="E204" i="2"/>
  <c r="E152" i="2"/>
  <c r="C152" i="2"/>
  <c r="C109" i="2"/>
  <c r="E109" i="2"/>
  <c r="E235" i="2"/>
  <c r="C235" i="2"/>
  <c r="E44" i="2"/>
  <c r="C44" i="2"/>
  <c r="E184" i="2"/>
  <c r="C184" i="2"/>
  <c r="C140" i="2"/>
  <c r="E140" i="2"/>
  <c r="E372" i="2"/>
  <c r="C372" i="2"/>
  <c r="C143" i="2"/>
  <c r="E143" i="2"/>
  <c r="C64" i="2"/>
  <c r="E64" i="2"/>
  <c r="C196" i="2"/>
  <c r="E196" i="2"/>
  <c r="C206" i="2"/>
  <c r="E206" i="2"/>
  <c r="E341" i="2"/>
  <c r="C341" i="2"/>
  <c r="E270" i="2"/>
  <c r="C270" i="2"/>
  <c r="E247" i="2"/>
  <c r="C247" i="2"/>
  <c r="C210" i="2"/>
  <c r="E210" i="2"/>
  <c r="E31" i="2"/>
  <c r="E46" i="2"/>
  <c r="E29" i="2"/>
  <c r="E311" i="2"/>
  <c r="C311" i="2"/>
  <c r="C34" i="2"/>
  <c r="E34" i="2"/>
  <c r="C83" i="2"/>
  <c r="E83" i="2"/>
  <c r="C154" i="2"/>
  <c r="E154" i="2"/>
  <c r="C84" i="2"/>
  <c r="E84" i="2"/>
  <c r="E185" i="2"/>
  <c r="C185" i="2"/>
  <c r="E114" i="2"/>
  <c r="E169" i="2"/>
  <c r="E110" i="2"/>
  <c r="E288" i="2"/>
  <c r="C288" i="2"/>
  <c r="C176" i="2"/>
  <c r="E176" i="2"/>
  <c r="C267" i="2"/>
  <c r="E267" i="2"/>
  <c r="C253" i="2"/>
  <c r="E253" i="2"/>
  <c r="C160" i="2"/>
  <c r="E160" i="2"/>
  <c r="C287" i="2"/>
  <c r="E287" i="2"/>
  <c r="C32" i="2"/>
  <c r="E32" i="2"/>
  <c r="E134" i="2"/>
  <c r="C161" i="2"/>
  <c r="E161" i="2"/>
  <c r="C145" i="2"/>
  <c r="E145" i="2"/>
  <c r="C256" i="2"/>
  <c r="E256" i="2"/>
  <c r="C104" i="2"/>
  <c r="E104" i="2"/>
  <c r="C57" i="2"/>
  <c r="E57" i="2"/>
  <c r="E135" i="2"/>
  <c r="C135" i="2"/>
  <c r="E309" i="2"/>
  <c r="C309" i="2"/>
  <c r="C30" i="2"/>
  <c r="E30" i="2"/>
  <c r="C101" i="2"/>
  <c r="E101" i="2"/>
  <c r="E363" i="2"/>
  <c r="C363" i="2"/>
  <c r="C173" i="2"/>
  <c r="E173" i="2"/>
  <c r="C189" i="2"/>
  <c r="E189" i="2"/>
  <c r="C58" i="2"/>
  <c r="E58" i="2"/>
  <c r="C94" i="2"/>
  <c r="E94" i="2"/>
  <c r="C201" i="2"/>
  <c r="E201" i="2"/>
  <c r="C111" i="2"/>
  <c r="E111" i="2"/>
  <c r="C202" i="2"/>
  <c r="E202" i="2"/>
  <c r="E312" i="2"/>
  <c r="C312" i="2"/>
  <c r="E142" i="2"/>
  <c r="E128" i="2"/>
  <c r="C128" i="2"/>
  <c r="C133" i="2"/>
  <c r="E133" i="2"/>
  <c r="E359" i="2"/>
  <c r="C359" i="2"/>
  <c r="C45" i="2"/>
  <c r="E45" i="2"/>
  <c r="E302" i="2"/>
  <c r="C302" i="2"/>
  <c r="E274" i="2"/>
  <c r="C274" i="2"/>
  <c r="C251" i="2"/>
  <c r="E251" i="2"/>
  <c r="C252" i="2"/>
  <c r="E252" i="2"/>
  <c r="E329" i="2"/>
  <c r="C329" i="2"/>
  <c r="C317" i="2"/>
  <c r="E317" i="2"/>
  <c r="C177" i="2"/>
  <c r="E177" i="2"/>
  <c r="C208" i="2"/>
  <c r="E208" i="2"/>
  <c r="C112" i="2"/>
  <c r="E112" i="2"/>
  <c r="C260" i="2"/>
  <c r="E260" i="2"/>
  <c r="E237" i="2"/>
  <c r="C237" i="2"/>
  <c r="C221" i="2"/>
  <c r="E221" i="2"/>
  <c r="C236" i="2"/>
  <c r="E236" i="2"/>
  <c r="C95" i="2"/>
  <c r="E95" i="2"/>
  <c r="C301" i="2"/>
  <c r="E301" i="2"/>
  <c r="E300" i="2"/>
  <c r="C300" i="2"/>
  <c r="E324" i="2"/>
  <c r="C324" i="2"/>
  <c r="C98" i="2"/>
  <c r="E98" i="2"/>
  <c r="C276" i="2"/>
  <c r="E276" i="2"/>
  <c r="C163" i="2"/>
  <c r="E163" i="2"/>
  <c r="E305" i="2"/>
  <c r="C305" i="2"/>
  <c r="C72" i="2"/>
  <c r="E72" i="2"/>
  <c r="E280" i="2"/>
  <c r="C280" i="2"/>
  <c r="E187" i="2"/>
  <c r="C187" i="2"/>
  <c r="C120" i="2"/>
  <c r="E120" i="2"/>
  <c r="C35" i="2"/>
  <c r="E35" i="2"/>
  <c r="E265" i="2"/>
  <c r="C265" i="2"/>
  <c r="C78" i="2"/>
  <c r="E78" i="2"/>
  <c r="C351" i="2"/>
  <c r="E351" i="2"/>
  <c r="C52" i="2"/>
  <c r="E52" i="2"/>
  <c r="C171" i="2"/>
  <c r="E171" i="2"/>
  <c r="E182" i="2"/>
  <c r="C182" i="2"/>
  <c r="E379" i="2"/>
  <c r="C379" i="2"/>
  <c r="E205" i="2"/>
  <c r="E73" i="2"/>
  <c r="E88" i="2"/>
  <c r="E166" i="2"/>
  <c r="C90" i="2"/>
  <c r="E90" i="2"/>
  <c r="C158" i="2"/>
  <c r="E158" i="2"/>
  <c r="E376" i="2"/>
  <c r="C376" i="2"/>
  <c r="E118" i="2"/>
  <c r="C118" i="2"/>
  <c r="C162" i="2"/>
  <c r="E162" i="2"/>
  <c r="C61" i="2"/>
  <c r="E61" i="2"/>
  <c r="C248" i="2"/>
  <c r="E248" i="2"/>
  <c r="E328" i="2"/>
  <c r="C328" i="2"/>
  <c r="C261" i="2"/>
  <c r="E261" i="2"/>
  <c r="C294" i="2"/>
  <c r="E294" i="2"/>
  <c r="C255" i="2"/>
  <c r="E255" i="2"/>
  <c r="C165" i="2"/>
  <c r="E165" i="2"/>
  <c r="E241" i="2"/>
  <c r="C241" i="2"/>
  <c r="E167" i="2"/>
  <c r="E59" i="2"/>
  <c r="E375" i="2"/>
  <c r="C375" i="2"/>
  <c r="C130" i="2"/>
  <c r="E130" i="2"/>
  <c r="E339" i="2"/>
  <c r="C339" i="2"/>
  <c r="C194" i="2"/>
  <c r="E194" i="2"/>
  <c r="E319" i="2"/>
  <c r="C319" i="2"/>
  <c r="E365" i="2"/>
  <c r="C365" i="2"/>
  <c r="E298" i="2"/>
  <c r="C298" i="2"/>
  <c r="C360" i="2"/>
  <c r="E360" i="2"/>
  <c r="C344" i="2"/>
  <c r="E344" i="2"/>
  <c r="C307" i="2"/>
  <c r="E307" i="2"/>
  <c r="E345" i="2"/>
  <c r="C345" i="2"/>
  <c r="E354" i="2"/>
  <c r="C354" i="2"/>
  <c r="E170" i="2"/>
  <c r="C170" i="2"/>
  <c r="C50" i="2"/>
  <c r="E50" i="2"/>
  <c r="C62" i="2"/>
  <c r="E62" i="2"/>
  <c r="E337" i="2"/>
  <c r="C337" i="2"/>
  <c r="C200" i="2"/>
  <c r="E200" i="2"/>
  <c r="E304" i="2"/>
  <c r="C304" i="2"/>
  <c r="C257" i="2"/>
  <c r="E257" i="2"/>
  <c r="C213" i="2"/>
  <c r="E213" i="2"/>
  <c r="E273" i="2"/>
  <c r="C273" i="2"/>
  <c r="C36" i="2"/>
  <c r="E36" i="2"/>
  <c r="C155" i="2"/>
  <c r="E155" i="2"/>
  <c r="C374" i="2"/>
  <c r="E374" i="2"/>
  <c r="E377" i="2"/>
  <c r="C377" i="2"/>
  <c r="C217" i="2"/>
  <c r="E217" i="2"/>
  <c r="C382" i="2"/>
  <c r="E382" i="2"/>
  <c r="E124" i="2"/>
  <c r="C124" i="2"/>
  <c r="C56" i="2"/>
  <c r="E56" i="2"/>
  <c r="E291" i="2"/>
  <c r="C291" i="2"/>
  <c r="C151" i="2"/>
  <c r="E151" i="2"/>
  <c r="E277" i="2"/>
  <c r="C277" i="2"/>
  <c r="C348" i="2"/>
  <c r="E348" i="2"/>
  <c r="C159" i="2"/>
  <c r="E159" i="2"/>
  <c r="E27" i="2"/>
  <c r="C27" i="2"/>
  <c r="D27" i="2"/>
  <c r="C125" i="2"/>
  <c r="E125" i="2"/>
  <c r="C222" i="2"/>
  <c r="E222" i="2"/>
  <c r="C195" i="2"/>
  <c r="E195" i="2"/>
  <c r="C190" i="2"/>
  <c r="E190" i="2"/>
  <c r="E108" i="2"/>
  <c r="C108" i="2"/>
  <c r="E385" i="2"/>
  <c r="C385" i="2"/>
  <c r="E331" i="2"/>
  <c r="C331" i="2"/>
  <c r="C77" i="2"/>
  <c r="E77" i="2"/>
  <c r="E71" i="2"/>
  <c r="C71" i="2"/>
  <c r="C378" i="2"/>
  <c r="E378" i="2"/>
  <c r="C245" i="2"/>
  <c r="E245" i="2"/>
  <c r="C326" i="2"/>
  <c r="E326" i="2"/>
  <c r="E293" i="2"/>
  <c r="C293" i="2"/>
  <c r="C91" i="2"/>
  <c r="E91" i="2"/>
  <c r="C113" i="2"/>
  <c r="E113" i="2"/>
  <c r="C40" i="2"/>
  <c r="E40" i="2"/>
  <c r="E361" i="2"/>
  <c r="C361" i="2"/>
  <c r="C141" i="2"/>
  <c r="E141" i="2"/>
  <c r="C168" i="2"/>
  <c r="E168" i="2"/>
  <c r="C147" i="2"/>
  <c r="E147" i="2"/>
  <c r="C28" i="2"/>
  <c r="E28" i="2"/>
  <c r="C174" i="2"/>
  <c r="E174" i="2"/>
  <c r="C100" i="2"/>
  <c r="E100" i="2"/>
  <c r="C149" i="2"/>
  <c r="E149" i="2"/>
  <c r="C106" i="2"/>
  <c r="E106" i="2"/>
  <c r="C127" i="2"/>
  <c r="E127" i="2"/>
  <c r="C68" i="2"/>
  <c r="E68" i="2"/>
  <c r="E198" i="2"/>
  <c r="C198" i="2"/>
  <c r="C105" i="2"/>
  <c r="E105" i="2"/>
  <c r="C209" i="2"/>
  <c r="E209" i="2"/>
  <c r="C60" i="2"/>
  <c r="E60" i="2"/>
  <c r="C263" i="2"/>
  <c r="E263" i="2"/>
  <c r="C79" i="2"/>
  <c r="E79" i="2"/>
  <c r="C191" i="2"/>
  <c r="E191" i="2"/>
  <c r="C41" i="2"/>
  <c r="E41" i="2"/>
  <c r="C211" i="2"/>
  <c r="E211" i="2"/>
  <c r="C338" i="2"/>
  <c r="E338" i="2"/>
  <c r="C367" i="2"/>
  <c r="E367" i="2"/>
  <c r="C121" i="2"/>
  <c r="E121" i="2"/>
  <c r="C371" i="2"/>
  <c r="E371" i="2"/>
  <c r="E51" i="2"/>
  <c r="C51" i="2"/>
  <c r="C258" i="2"/>
  <c r="E258" i="2"/>
  <c r="C215" i="2"/>
  <c r="E215" i="2"/>
  <c r="C47" i="2"/>
  <c r="E47" i="2"/>
  <c r="C227" i="2"/>
  <c r="E227" i="2"/>
  <c r="E103" i="2"/>
  <c r="E358" i="2"/>
  <c r="C358" i="2"/>
  <c r="C243" i="2"/>
  <c r="E243" i="2"/>
  <c r="C242" i="2"/>
  <c r="E242" i="2"/>
  <c r="C244" i="2"/>
  <c r="E244" i="2"/>
  <c r="C156" i="2"/>
  <c r="E156" i="2"/>
  <c r="C226" i="2"/>
  <c r="E226" i="2"/>
  <c r="C74" i="2"/>
  <c r="E74" i="2"/>
  <c r="C172" i="2"/>
  <c r="E172" i="2"/>
  <c r="C107" i="2"/>
  <c r="E107" i="2"/>
  <c r="C369" i="2"/>
  <c r="E369" i="2"/>
  <c r="C126" i="2"/>
  <c r="E126" i="2"/>
  <c r="C289" i="2"/>
  <c r="E289" i="2"/>
  <c r="E286" i="2"/>
  <c r="C286" i="2"/>
  <c r="C285" i="2"/>
  <c r="E285" i="2"/>
  <c r="E66" i="2"/>
  <c r="C197" i="2"/>
  <c r="E197" i="2"/>
  <c r="C224" i="2"/>
  <c r="E224" i="2"/>
  <c r="C340" i="2"/>
  <c r="E340" i="2"/>
  <c r="C292" i="2"/>
  <c r="E292" i="2"/>
  <c r="E199" i="2"/>
  <c r="C199" i="2"/>
  <c r="E295" i="2"/>
  <c r="C295" i="2"/>
  <c r="E310" i="2"/>
  <c r="C310" i="2"/>
  <c r="E366" i="2"/>
  <c r="C366" i="2"/>
  <c r="C272" i="2"/>
  <c r="E272" i="2"/>
  <c r="C216" i="2"/>
  <c r="E216" i="2"/>
  <c r="C136" i="2"/>
  <c r="E136" i="2"/>
  <c r="E342" i="2"/>
  <c r="C342" i="2"/>
  <c r="C102" i="2"/>
  <c r="E102" i="2"/>
  <c r="C99" i="2"/>
  <c r="E99" i="2"/>
  <c r="E55" i="2"/>
  <c r="E43" i="2"/>
  <c r="E37" i="2"/>
  <c r="E131" i="2"/>
  <c r="F27" i="2" l="1"/>
  <c r="G27" i="2" s="1"/>
  <c r="G11" i="2"/>
  <c r="G7" i="2"/>
  <c r="G10" i="2" s="1"/>
  <c r="I27" i="2"/>
  <c r="K27" i="2" l="1"/>
  <c r="H27" i="2"/>
  <c r="J27" i="2" s="1"/>
  <c r="D28" i="2" s="1"/>
  <c r="F28" i="2" l="1"/>
  <c r="G28" i="2" s="1"/>
  <c r="I28" i="2"/>
  <c r="K28" i="2" l="1"/>
  <c r="H28" i="2"/>
  <c r="J28" i="2" s="1"/>
  <c r="D29" i="2" s="1"/>
  <c r="I29" i="2" l="1"/>
  <c r="F29" i="2"/>
  <c r="G29" i="2" s="1"/>
  <c r="H29" i="2" l="1"/>
  <c r="J29" i="2" s="1"/>
  <c r="D30" i="2" s="1"/>
  <c r="F30" i="2" s="1"/>
  <c r="K29" i="2"/>
  <c r="I30" i="2" l="1"/>
  <c r="G30" i="2"/>
  <c r="H30" i="2" l="1"/>
  <c r="J30" i="2" s="1"/>
  <c r="D31" i="2" s="1"/>
  <c r="I31" i="2" s="1"/>
  <c r="K30" i="2"/>
  <c r="F31" i="2" l="1"/>
  <c r="G31" i="2" s="1"/>
  <c r="H31" i="2" s="1"/>
  <c r="J31" i="2" s="1"/>
  <c r="D32" i="2" s="1"/>
  <c r="I32" i="2" s="1"/>
  <c r="K32" i="2" s="1"/>
  <c r="K31" i="2"/>
  <c r="F32" i="2" l="1"/>
  <c r="G32" i="2" s="1"/>
  <c r="H32" i="2" s="1"/>
  <c r="J32" i="2" s="1"/>
  <c r="D33" i="2" s="1"/>
  <c r="F33" i="2" s="1"/>
  <c r="I33" i="2" l="1"/>
  <c r="K33" i="2" s="1"/>
  <c r="G33" i="2"/>
  <c r="H33" i="2" l="1"/>
  <c r="J33" i="2" s="1"/>
  <c r="D34" i="2" s="1"/>
  <c r="I34" i="2" s="1"/>
  <c r="K34" i="2" s="1"/>
  <c r="F34" i="2" l="1"/>
  <c r="G34" i="2" s="1"/>
  <c r="H34" i="2" s="1"/>
  <c r="J34" i="2" s="1"/>
  <c r="D35" i="2" s="1"/>
  <c r="F35" i="2" l="1"/>
  <c r="I35" i="2"/>
  <c r="K35" i="2" s="1"/>
  <c r="G35" i="2" l="1"/>
  <c r="H35" i="2" s="1"/>
  <c r="J35" i="2" s="1"/>
  <c r="D36" i="2" s="1"/>
  <c r="I36" i="2" l="1"/>
  <c r="K36" i="2" s="1"/>
  <c r="F36" i="2"/>
  <c r="G36" i="2" l="1"/>
  <c r="H36" i="2" s="1"/>
  <c r="J36" i="2" s="1"/>
  <c r="D37" i="2" s="1"/>
  <c r="I37" i="2" l="1"/>
  <c r="K37" i="2" s="1"/>
  <c r="F37" i="2"/>
  <c r="G37" i="2" l="1"/>
  <c r="H37" i="2" s="1"/>
  <c r="J37" i="2" s="1"/>
  <c r="D38" i="2" s="1"/>
  <c r="I38" i="2" l="1"/>
  <c r="K38" i="2" s="1"/>
  <c r="F38" i="2"/>
  <c r="G38" i="2" l="1"/>
  <c r="H38" i="2" s="1"/>
  <c r="J38" i="2" s="1"/>
  <c r="D39" i="2" s="1"/>
  <c r="F39" i="2" l="1"/>
  <c r="I39" i="2"/>
  <c r="K39" i="2" s="1"/>
  <c r="G39" i="2" l="1"/>
  <c r="H39" i="2" s="1"/>
  <c r="J39" i="2" s="1"/>
  <c r="D40" i="2" s="1"/>
  <c r="I40" i="2" l="1"/>
  <c r="K40" i="2" s="1"/>
  <c r="F40" i="2"/>
  <c r="G40" i="2" l="1"/>
  <c r="H40" i="2" s="1"/>
  <c r="J40" i="2" s="1"/>
  <c r="D41" i="2" s="1"/>
  <c r="I41" i="2" l="1"/>
  <c r="K41" i="2" s="1"/>
  <c r="F41" i="2"/>
  <c r="G41" i="2" l="1"/>
  <c r="H41" i="2" s="1"/>
  <c r="J41" i="2" s="1"/>
  <c r="D42" i="2" s="1"/>
  <c r="I42" i="2" l="1"/>
  <c r="K42" i="2" s="1"/>
  <c r="F42" i="2"/>
  <c r="G42" i="2" l="1"/>
  <c r="H42" i="2" s="1"/>
  <c r="J42" i="2" s="1"/>
  <c r="D43" i="2" s="1"/>
  <c r="F43" i="2" l="1"/>
  <c r="I43" i="2"/>
  <c r="K43" i="2" s="1"/>
  <c r="G43" i="2" l="1"/>
  <c r="H43" i="2" s="1"/>
  <c r="J43" i="2" s="1"/>
  <c r="D44" i="2" s="1"/>
  <c r="I44" i="2" l="1"/>
  <c r="K44" i="2" s="1"/>
  <c r="F44" i="2"/>
  <c r="G44" i="2" l="1"/>
  <c r="H44" i="2" s="1"/>
  <c r="J44" i="2" s="1"/>
  <c r="D45" i="2" s="1"/>
  <c r="I45" i="2" l="1"/>
  <c r="K45" i="2" s="1"/>
  <c r="F45" i="2"/>
  <c r="G45" i="2" l="1"/>
  <c r="H45" i="2" s="1"/>
  <c r="J45" i="2" s="1"/>
  <c r="D46" i="2" s="1"/>
  <c r="I46" i="2" l="1"/>
  <c r="K46" i="2" s="1"/>
  <c r="F46" i="2"/>
  <c r="G46" i="2" l="1"/>
  <c r="H46" i="2" s="1"/>
  <c r="J46" i="2" s="1"/>
  <c r="D47" i="2" s="1"/>
  <c r="F47" i="2" l="1"/>
  <c r="I47" i="2"/>
  <c r="K47" i="2" s="1"/>
  <c r="G47" i="2" l="1"/>
  <c r="H47" i="2" s="1"/>
  <c r="J47" i="2" s="1"/>
  <c r="D48" i="2" s="1"/>
  <c r="I48" i="2" l="1"/>
  <c r="K48" i="2" s="1"/>
  <c r="F48" i="2"/>
  <c r="G48" i="2" l="1"/>
  <c r="H48" i="2" s="1"/>
  <c r="J48" i="2" s="1"/>
  <c r="D49" i="2" s="1"/>
  <c r="I49" i="2" l="1"/>
  <c r="K49" i="2" s="1"/>
  <c r="F49" i="2"/>
  <c r="G49" i="2" l="1"/>
  <c r="H49" i="2" s="1"/>
  <c r="J49" i="2" s="1"/>
  <c r="D50" i="2" s="1"/>
  <c r="F50" i="2" l="1"/>
  <c r="I50" i="2"/>
  <c r="K50" i="2" s="1"/>
  <c r="G50" i="2" l="1"/>
  <c r="H50" i="2" s="1"/>
  <c r="J50" i="2" s="1"/>
  <c r="D51" i="2" s="1"/>
  <c r="I51" i="2" l="1"/>
  <c r="K51" i="2" s="1"/>
  <c r="F51" i="2"/>
  <c r="G51" i="2" l="1"/>
  <c r="H51" i="2" s="1"/>
  <c r="J51" i="2" s="1"/>
  <c r="D52" i="2" s="1"/>
  <c r="I52" i="2" l="1"/>
  <c r="K52" i="2" s="1"/>
  <c r="F52" i="2"/>
  <c r="G52" i="2" l="1"/>
  <c r="H52" i="2" s="1"/>
  <c r="J52" i="2" s="1"/>
  <c r="D53" i="2" s="1"/>
  <c r="I53" i="2" l="1"/>
  <c r="K53" i="2" s="1"/>
  <c r="F53" i="2"/>
  <c r="G53" i="2" l="1"/>
  <c r="H53" i="2" s="1"/>
  <c r="J53" i="2" s="1"/>
  <c r="D54" i="2" s="1"/>
  <c r="I54" i="2" l="1"/>
  <c r="K54" i="2" s="1"/>
  <c r="F54" i="2"/>
  <c r="G54" i="2" l="1"/>
  <c r="H54" i="2" s="1"/>
  <c r="J54" i="2" s="1"/>
  <c r="D55" i="2" s="1"/>
  <c r="F55" i="2" l="1"/>
  <c r="I55" i="2"/>
  <c r="K55" i="2" s="1"/>
  <c r="G55" i="2" l="1"/>
  <c r="H55" i="2" s="1"/>
  <c r="J55" i="2" s="1"/>
  <c r="D56" i="2" s="1"/>
  <c r="I56" i="2" l="1"/>
  <c r="K56" i="2" s="1"/>
  <c r="F56" i="2"/>
  <c r="G56" i="2" l="1"/>
  <c r="H56" i="2" s="1"/>
  <c r="J56" i="2" s="1"/>
  <c r="D57" i="2" s="1"/>
  <c r="I57" i="2" l="1"/>
  <c r="K57" i="2" s="1"/>
  <c r="F57" i="2"/>
  <c r="G57" i="2" l="1"/>
  <c r="H57" i="2" s="1"/>
  <c r="J57" i="2" s="1"/>
  <c r="D58" i="2" s="1"/>
  <c r="F58" i="2" l="1"/>
  <c r="I58" i="2"/>
  <c r="K58" i="2" s="1"/>
  <c r="G58" i="2" l="1"/>
  <c r="H58" i="2" s="1"/>
  <c r="J58" i="2" s="1"/>
  <c r="D59" i="2" s="1"/>
  <c r="F59" i="2" l="1"/>
  <c r="I59" i="2"/>
  <c r="K59" i="2" s="1"/>
  <c r="G59" i="2" l="1"/>
  <c r="H59" i="2" s="1"/>
  <c r="J59" i="2" s="1"/>
  <c r="D60" i="2" s="1"/>
  <c r="I60" i="2" l="1"/>
  <c r="K60" i="2" s="1"/>
  <c r="F60" i="2"/>
  <c r="G60" i="2" l="1"/>
  <c r="H60" i="2" s="1"/>
  <c r="J60" i="2" s="1"/>
  <c r="D61" i="2" s="1"/>
  <c r="I61" i="2" l="1"/>
  <c r="K61" i="2" s="1"/>
  <c r="F61" i="2"/>
  <c r="G61" i="2" l="1"/>
  <c r="H61" i="2" s="1"/>
  <c r="J61" i="2" s="1"/>
  <c r="D62" i="2" s="1"/>
  <c r="I62" i="2" l="1"/>
  <c r="K62" i="2" s="1"/>
  <c r="F62" i="2"/>
  <c r="G62" i="2" l="1"/>
  <c r="H62" i="2" s="1"/>
  <c r="J62" i="2" s="1"/>
  <c r="D63" i="2" s="1"/>
  <c r="F63" i="2" l="1"/>
  <c r="I63" i="2"/>
  <c r="K63" i="2" s="1"/>
  <c r="G63" i="2" l="1"/>
  <c r="H63" i="2" s="1"/>
  <c r="J63" i="2" s="1"/>
  <c r="D64" i="2" s="1"/>
  <c r="I64" i="2" l="1"/>
  <c r="K64" i="2" s="1"/>
  <c r="F64" i="2"/>
  <c r="G64" i="2" l="1"/>
  <c r="H64" i="2" s="1"/>
  <c r="J64" i="2" s="1"/>
  <c r="D65" i="2" s="1"/>
  <c r="I65" i="2" l="1"/>
  <c r="K65" i="2" s="1"/>
  <c r="F65" i="2"/>
  <c r="G65" i="2" l="1"/>
  <c r="H65" i="2" s="1"/>
  <c r="J65" i="2" s="1"/>
  <c r="D66" i="2" s="1"/>
  <c r="F66" i="2" l="1"/>
  <c r="I66" i="2"/>
  <c r="K66" i="2" s="1"/>
  <c r="G66" i="2" l="1"/>
  <c r="H66" i="2" s="1"/>
  <c r="J66" i="2" s="1"/>
  <c r="D67" i="2" s="1"/>
  <c r="F67" i="2" l="1"/>
  <c r="I67" i="2"/>
  <c r="K67" i="2" s="1"/>
  <c r="G67" i="2" l="1"/>
  <c r="H67" i="2" s="1"/>
  <c r="J67" i="2" s="1"/>
  <c r="D68" i="2" s="1"/>
  <c r="I68" i="2" l="1"/>
  <c r="K68" i="2" s="1"/>
  <c r="F68" i="2"/>
  <c r="G68" i="2" l="1"/>
  <c r="H68" i="2" s="1"/>
  <c r="J68" i="2" s="1"/>
  <c r="D69" i="2" s="1"/>
  <c r="I69" i="2" l="1"/>
  <c r="K69" i="2" s="1"/>
  <c r="F69" i="2"/>
  <c r="G69" i="2" l="1"/>
  <c r="H69" i="2" s="1"/>
  <c r="J69" i="2" s="1"/>
  <c r="D70" i="2" s="1"/>
  <c r="I70" i="2" l="1"/>
  <c r="K70" i="2" s="1"/>
  <c r="F70" i="2"/>
  <c r="G70" i="2" l="1"/>
  <c r="H70" i="2" s="1"/>
  <c r="J70" i="2" s="1"/>
  <c r="D71" i="2" s="1"/>
  <c r="I71" i="2" l="1"/>
  <c r="K71" i="2" s="1"/>
  <c r="F71" i="2"/>
  <c r="G71" i="2" l="1"/>
  <c r="H71" i="2" s="1"/>
  <c r="J71" i="2" s="1"/>
  <c r="D72" i="2" s="1"/>
  <c r="F72" i="2" l="1"/>
  <c r="I72" i="2"/>
  <c r="K72" i="2" s="1"/>
  <c r="G72" i="2" l="1"/>
  <c r="H72" i="2" s="1"/>
  <c r="J72" i="2" s="1"/>
  <c r="D73" i="2" s="1"/>
  <c r="I73" i="2" l="1"/>
  <c r="K73" i="2" s="1"/>
  <c r="F73" i="2"/>
  <c r="G73" i="2" l="1"/>
  <c r="H73" i="2" s="1"/>
  <c r="J73" i="2" s="1"/>
  <c r="D74" i="2" s="1"/>
  <c r="I74" i="2" l="1"/>
  <c r="K74" i="2" s="1"/>
  <c r="F74" i="2"/>
  <c r="G74" i="2" l="1"/>
  <c r="H74" i="2" s="1"/>
  <c r="J74" i="2" s="1"/>
  <c r="D75" i="2" s="1"/>
  <c r="F75" i="2" l="1"/>
  <c r="I75" i="2"/>
  <c r="K75" i="2" s="1"/>
  <c r="G75" i="2" l="1"/>
  <c r="H75" i="2" s="1"/>
  <c r="J75" i="2" s="1"/>
  <c r="D76" i="2" s="1"/>
  <c r="I76" i="2" l="1"/>
  <c r="K76" i="2" s="1"/>
  <c r="F76" i="2"/>
  <c r="G76" i="2" l="1"/>
  <c r="H76" i="2" s="1"/>
  <c r="J76" i="2" s="1"/>
  <c r="D77" i="2" s="1"/>
  <c r="I77" i="2" l="1"/>
  <c r="K77" i="2" s="1"/>
  <c r="F77" i="2"/>
  <c r="G77" i="2" l="1"/>
  <c r="H77" i="2" s="1"/>
  <c r="J77" i="2" s="1"/>
  <c r="D78" i="2" s="1"/>
  <c r="I78" i="2" l="1"/>
  <c r="K78" i="2" s="1"/>
  <c r="F78" i="2"/>
  <c r="G78" i="2" l="1"/>
  <c r="H78" i="2" s="1"/>
  <c r="J78" i="2" s="1"/>
  <c r="D79" i="2" s="1"/>
  <c r="F79" i="2" l="1"/>
  <c r="I79" i="2"/>
  <c r="K79" i="2" s="1"/>
  <c r="G79" i="2" l="1"/>
  <c r="H79" i="2" s="1"/>
  <c r="J79" i="2" s="1"/>
  <c r="D80" i="2" s="1"/>
  <c r="F80" i="2" l="1"/>
  <c r="I80" i="2"/>
  <c r="K80" i="2" s="1"/>
  <c r="G80" i="2" l="1"/>
  <c r="H80" i="2" s="1"/>
  <c r="J80" i="2" s="1"/>
  <c r="D81" i="2" s="1"/>
  <c r="I81" i="2" l="1"/>
  <c r="K81" i="2" s="1"/>
  <c r="F81" i="2"/>
  <c r="G81" i="2" l="1"/>
  <c r="H81" i="2" s="1"/>
  <c r="J81" i="2" s="1"/>
  <c r="D82" i="2" s="1"/>
  <c r="I82" i="2" l="1"/>
  <c r="K82" i="2" s="1"/>
  <c r="F82" i="2"/>
  <c r="G82" i="2" l="1"/>
  <c r="H82" i="2" s="1"/>
  <c r="J82" i="2" s="1"/>
  <c r="D83" i="2" s="1"/>
  <c r="F83" i="2" l="1"/>
  <c r="I83" i="2"/>
  <c r="K83" i="2" s="1"/>
  <c r="G83" i="2" l="1"/>
  <c r="H83" i="2" s="1"/>
  <c r="J83" i="2" s="1"/>
  <c r="D84" i="2" s="1"/>
  <c r="I84" i="2" l="1"/>
  <c r="K84" i="2" s="1"/>
  <c r="F84" i="2"/>
  <c r="G84" i="2" l="1"/>
  <c r="H84" i="2" s="1"/>
  <c r="J84" i="2" s="1"/>
  <c r="D85" i="2" s="1"/>
  <c r="I85" i="2" l="1"/>
  <c r="K85" i="2" s="1"/>
  <c r="F85" i="2"/>
  <c r="G85" i="2" l="1"/>
  <c r="H85" i="2" s="1"/>
  <c r="J85" i="2" s="1"/>
  <c r="D86" i="2" s="1"/>
  <c r="I86" i="2" l="1"/>
  <c r="K86" i="2" s="1"/>
  <c r="F86" i="2"/>
  <c r="G86" i="2" l="1"/>
  <c r="H86" i="2" s="1"/>
  <c r="J86" i="2" s="1"/>
  <c r="D87" i="2" s="1"/>
  <c r="I87" i="2" l="1"/>
  <c r="K87" i="2" s="1"/>
  <c r="F87" i="2"/>
  <c r="G87" i="2" l="1"/>
  <c r="H87" i="2" s="1"/>
  <c r="J87" i="2" s="1"/>
  <c r="D88" i="2" s="1"/>
  <c r="F88" i="2" l="1"/>
  <c r="I88" i="2"/>
  <c r="K88" i="2" s="1"/>
  <c r="G88" i="2" l="1"/>
  <c r="H88" i="2" s="1"/>
  <c r="J88" i="2" s="1"/>
  <c r="D89" i="2" s="1"/>
  <c r="I89" i="2" l="1"/>
  <c r="K89" i="2" s="1"/>
  <c r="F89" i="2"/>
  <c r="G89" i="2" l="1"/>
  <c r="H89" i="2" s="1"/>
  <c r="J89" i="2" s="1"/>
  <c r="D90" i="2" s="1"/>
  <c r="I90" i="2" l="1"/>
  <c r="K90" i="2" s="1"/>
  <c r="F90" i="2"/>
  <c r="G90" i="2" l="1"/>
  <c r="H90" i="2" s="1"/>
  <c r="J90" i="2" s="1"/>
  <c r="D91" i="2" s="1"/>
  <c r="F91" i="2" l="1"/>
  <c r="I91" i="2"/>
  <c r="K91" i="2" s="1"/>
  <c r="G91" i="2" l="1"/>
  <c r="H91" i="2" s="1"/>
  <c r="J91" i="2" s="1"/>
  <c r="D92" i="2" s="1"/>
  <c r="I92" i="2" l="1"/>
  <c r="K92" i="2" s="1"/>
  <c r="F92" i="2"/>
  <c r="G92" i="2" l="1"/>
  <c r="H92" i="2" s="1"/>
  <c r="J92" i="2" s="1"/>
  <c r="D93" i="2" s="1"/>
  <c r="I93" i="2" l="1"/>
  <c r="K93" i="2" s="1"/>
  <c r="F93" i="2"/>
  <c r="G93" i="2" l="1"/>
  <c r="H93" i="2" s="1"/>
  <c r="J93" i="2" s="1"/>
  <c r="D94" i="2" s="1"/>
  <c r="F94" i="2" l="1"/>
  <c r="I94" i="2"/>
  <c r="K94" i="2" s="1"/>
  <c r="G94" i="2" l="1"/>
  <c r="H94" i="2" s="1"/>
  <c r="J94" i="2" s="1"/>
  <c r="D95" i="2" s="1"/>
  <c r="I95" i="2" l="1"/>
  <c r="K95" i="2" s="1"/>
  <c r="F95" i="2"/>
  <c r="G95" i="2" l="1"/>
  <c r="H95" i="2" s="1"/>
  <c r="J95" i="2" s="1"/>
  <c r="D96" i="2" s="1"/>
  <c r="I96" i="2" l="1"/>
  <c r="K96" i="2" s="1"/>
  <c r="F96" i="2"/>
  <c r="G96" i="2" l="1"/>
  <c r="H96" i="2" s="1"/>
  <c r="J96" i="2" s="1"/>
  <c r="D97" i="2" s="1"/>
  <c r="I97" i="2" l="1"/>
  <c r="K97" i="2" s="1"/>
  <c r="F97" i="2"/>
  <c r="G97" i="2" l="1"/>
  <c r="H97" i="2" s="1"/>
  <c r="J97" i="2" s="1"/>
  <c r="D98" i="2" s="1"/>
  <c r="I98" i="2" l="1"/>
  <c r="K98" i="2" s="1"/>
  <c r="F98" i="2"/>
  <c r="G98" i="2" l="1"/>
  <c r="H98" i="2" s="1"/>
  <c r="J98" i="2" s="1"/>
  <c r="D99" i="2" s="1"/>
  <c r="F99" i="2" l="1"/>
  <c r="I99" i="2"/>
  <c r="K99" i="2" s="1"/>
  <c r="G99" i="2" l="1"/>
  <c r="H99" i="2" s="1"/>
  <c r="J99" i="2" s="1"/>
  <c r="D100" i="2" s="1"/>
  <c r="I100" i="2" l="1"/>
  <c r="K100" i="2" s="1"/>
  <c r="F100" i="2"/>
  <c r="G100" i="2" l="1"/>
  <c r="H100" i="2" s="1"/>
  <c r="J100" i="2" s="1"/>
  <c r="D101" i="2" s="1"/>
  <c r="I101" i="2" l="1"/>
  <c r="K101" i="2" s="1"/>
  <c r="F101" i="2"/>
  <c r="G101" i="2" l="1"/>
  <c r="H101" i="2" s="1"/>
  <c r="J101" i="2" s="1"/>
  <c r="D102" i="2" s="1"/>
  <c r="F102" i="2" l="1"/>
  <c r="I102" i="2"/>
  <c r="K102" i="2" s="1"/>
  <c r="G102" i="2" l="1"/>
  <c r="H102" i="2" s="1"/>
  <c r="J102" i="2" s="1"/>
  <c r="D103" i="2" s="1"/>
  <c r="I103" i="2" l="1"/>
  <c r="K103" i="2" s="1"/>
  <c r="F103" i="2"/>
  <c r="G103" i="2" l="1"/>
  <c r="H103" i="2" s="1"/>
  <c r="J103" i="2" s="1"/>
  <c r="D104" i="2" s="1"/>
  <c r="I104" i="2" l="1"/>
  <c r="K104" i="2" s="1"/>
  <c r="F104" i="2"/>
  <c r="G104" i="2" l="1"/>
  <c r="H104" i="2" s="1"/>
  <c r="J104" i="2" s="1"/>
  <c r="D105" i="2" s="1"/>
  <c r="I105" i="2" l="1"/>
  <c r="K105" i="2" s="1"/>
  <c r="F105" i="2"/>
  <c r="G105" i="2" l="1"/>
  <c r="H105" i="2" s="1"/>
  <c r="J105" i="2" s="1"/>
  <c r="D106" i="2" s="1"/>
  <c r="F106" i="2" l="1"/>
  <c r="I106" i="2"/>
  <c r="K106" i="2" s="1"/>
  <c r="G106" i="2" l="1"/>
  <c r="H106" i="2" s="1"/>
  <c r="J106" i="2" s="1"/>
  <c r="D107" i="2" s="1"/>
  <c r="F107" i="2" l="1"/>
  <c r="I107" i="2"/>
  <c r="K107" i="2" s="1"/>
  <c r="G107" i="2" l="1"/>
  <c r="H107" i="2" s="1"/>
  <c r="J107" i="2" s="1"/>
  <c r="D108" i="2" s="1"/>
  <c r="I108" i="2" l="1"/>
  <c r="K108" i="2" s="1"/>
  <c r="F108" i="2"/>
  <c r="G108" i="2" l="1"/>
  <c r="H108" i="2" s="1"/>
  <c r="J108" i="2" s="1"/>
  <c r="D109" i="2" s="1"/>
  <c r="I109" i="2" l="1"/>
  <c r="K109" i="2" s="1"/>
  <c r="F109" i="2"/>
  <c r="G109" i="2" l="1"/>
  <c r="H109" i="2" s="1"/>
  <c r="J109" i="2" s="1"/>
  <c r="D110" i="2" s="1"/>
  <c r="F110" i="2" l="1"/>
  <c r="I110" i="2"/>
  <c r="K110" i="2" s="1"/>
  <c r="G110" i="2" l="1"/>
  <c r="H110" i="2" s="1"/>
  <c r="J110" i="2" s="1"/>
  <c r="D111" i="2" s="1"/>
  <c r="F111" i="2" l="1"/>
  <c r="I111" i="2"/>
  <c r="K111" i="2" s="1"/>
  <c r="G111" i="2" l="1"/>
  <c r="H111" i="2" s="1"/>
  <c r="J111" i="2" s="1"/>
  <c r="D112" i="2" s="1"/>
  <c r="I112" i="2" l="1"/>
  <c r="K112" i="2" s="1"/>
  <c r="F112" i="2"/>
  <c r="G112" i="2" l="1"/>
  <c r="H112" i="2" s="1"/>
  <c r="J112" i="2" s="1"/>
  <c r="D113" i="2" s="1"/>
  <c r="I113" i="2" l="1"/>
  <c r="K113" i="2" s="1"/>
  <c r="F113" i="2"/>
  <c r="G113" i="2" l="1"/>
  <c r="H113" i="2" s="1"/>
  <c r="J113" i="2" s="1"/>
  <c r="D114" i="2" s="1"/>
  <c r="I114" i="2" l="1"/>
  <c r="K114" i="2" s="1"/>
  <c r="F114" i="2"/>
  <c r="G114" i="2" l="1"/>
  <c r="H114" i="2" s="1"/>
  <c r="J114" i="2" s="1"/>
  <c r="D115" i="2" s="1"/>
  <c r="I115" i="2" l="1"/>
  <c r="K115" i="2" s="1"/>
  <c r="F115" i="2"/>
  <c r="G115" i="2" l="1"/>
  <c r="H115" i="2" s="1"/>
  <c r="J115" i="2" s="1"/>
  <c r="D116" i="2" s="1"/>
  <c r="I116" i="2" l="1"/>
  <c r="K116" i="2" s="1"/>
  <c r="F116" i="2"/>
  <c r="G116" i="2" l="1"/>
  <c r="H116" i="2" s="1"/>
  <c r="J116" i="2" s="1"/>
  <c r="D117" i="2" s="1"/>
  <c r="I117" i="2" l="1"/>
  <c r="K117" i="2" s="1"/>
  <c r="F117" i="2"/>
  <c r="G117" i="2" l="1"/>
  <c r="H117" i="2" s="1"/>
  <c r="J117" i="2" s="1"/>
  <c r="D118" i="2" s="1"/>
  <c r="I118" i="2" l="1"/>
  <c r="K118" i="2" s="1"/>
  <c r="F118" i="2"/>
  <c r="G118" i="2" l="1"/>
  <c r="H118" i="2" s="1"/>
  <c r="J118" i="2" s="1"/>
  <c r="D119" i="2" s="1"/>
  <c r="I119" i="2" l="1"/>
  <c r="K119" i="2" s="1"/>
  <c r="F119" i="2"/>
  <c r="G119" i="2" l="1"/>
  <c r="H119" i="2" s="1"/>
  <c r="J119" i="2" s="1"/>
  <c r="D120" i="2" s="1"/>
  <c r="F120" i="2" l="1"/>
  <c r="I120" i="2"/>
  <c r="K120" i="2" s="1"/>
  <c r="G120" i="2" l="1"/>
  <c r="H120" i="2" s="1"/>
  <c r="J120" i="2" s="1"/>
  <c r="D121" i="2" s="1"/>
  <c r="F121" i="2" l="1"/>
  <c r="I121" i="2"/>
  <c r="K121" i="2" s="1"/>
  <c r="G121" i="2" l="1"/>
  <c r="H121" i="2" s="1"/>
  <c r="J121" i="2" s="1"/>
  <c r="D122" i="2" s="1"/>
  <c r="F122" i="2" l="1"/>
  <c r="I122" i="2"/>
  <c r="K122" i="2" s="1"/>
  <c r="G122" i="2" l="1"/>
  <c r="H122" i="2" s="1"/>
  <c r="J122" i="2" s="1"/>
  <c r="D123" i="2" s="1"/>
  <c r="I123" i="2" l="1"/>
  <c r="K123" i="2" s="1"/>
  <c r="F123" i="2"/>
  <c r="G123" i="2" l="1"/>
  <c r="H123" i="2" s="1"/>
  <c r="J123" i="2" s="1"/>
  <c r="D124" i="2" s="1"/>
  <c r="I124" i="2" l="1"/>
  <c r="K124" i="2" s="1"/>
  <c r="F124" i="2"/>
  <c r="G124" i="2" l="1"/>
  <c r="H124" i="2" s="1"/>
  <c r="J124" i="2" s="1"/>
  <c r="D125" i="2" s="1"/>
  <c r="F125" i="2" l="1"/>
  <c r="I125" i="2"/>
  <c r="K125" i="2" s="1"/>
  <c r="G125" i="2" l="1"/>
  <c r="H125" i="2" s="1"/>
  <c r="J125" i="2" s="1"/>
  <c r="D126" i="2" s="1"/>
  <c r="F126" i="2" l="1"/>
  <c r="I126" i="2"/>
  <c r="K126" i="2" s="1"/>
  <c r="G126" i="2" l="1"/>
  <c r="H126" i="2" s="1"/>
  <c r="J126" i="2" s="1"/>
  <c r="D127" i="2" s="1"/>
  <c r="F127" i="2" l="1"/>
  <c r="I127" i="2"/>
  <c r="K127" i="2" s="1"/>
  <c r="G127" i="2" l="1"/>
  <c r="H127" i="2" s="1"/>
  <c r="J127" i="2" s="1"/>
  <c r="D128" i="2" s="1"/>
  <c r="F128" i="2" l="1"/>
  <c r="I128" i="2"/>
  <c r="K128" i="2" s="1"/>
  <c r="G128" i="2" l="1"/>
  <c r="H128" i="2" s="1"/>
  <c r="J128" i="2" s="1"/>
  <c r="D129" i="2" s="1"/>
  <c r="I129" i="2" l="1"/>
  <c r="K129" i="2" s="1"/>
  <c r="F129" i="2"/>
  <c r="G129" i="2" l="1"/>
  <c r="H129" i="2" s="1"/>
  <c r="J129" i="2" s="1"/>
  <c r="D130" i="2" s="1"/>
  <c r="F130" i="2" l="1"/>
  <c r="I130" i="2"/>
  <c r="K130" i="2" s="1"/>
  <c r="G130" i="2" l="1"/>
  <c r="H130" i="2" s="1"/>
  <c r="J130" i="2" s="1"/>
  <c r="D131" i="2" s="1"/>
  <c r="F131" i="2" l="1"/>
  <c r="I131" i="2"/>
  <c r="K131" i="2" s="1"/>
  <c r="G131" i="2" l="1"/>
  <c r="H131" i="2" s="1"/>
  <c r="J131" i="2" s="1"/>
  <c r="D132" i="2" s="1"/>
  <c r="I132" i="2" l="1"/>
  <c r="K132" i="2" s="1"/>
  <c r="F132" i="2"/>
  <c r="G132" i="2" l="1"/>
  <c r="H132" i="2" s="1"/>
  <c r="J132" i="2" s="1"/>
  <c r="D133" i="2" s="1"/>
  <c r="I133" i="2" l="1"/>
  <c r="K133" i="2" s="1"/>
  <c r="F133" i="2"/>
  <c r="G133" i="2" l="1"/>
  <c r="H133" i="2" s="1"/>
  <c r="J133" i="2" s="1"/>
  <c r="D134" i="2" s="1"/>
  <c r="F134" i="2" l="1"/>
  <c r="I134" i="2"/>
  <c r="K134" i="2" s="1"/>
  <c r="G134" i="2" l="1"/>
  <c r="H134" i="2" s="1"/>
  <c r="J134" i="2" s="1"/>
  <c r="D135" i="2" s="1"/>
  <c r="I135" i="2" l="1"/>
  <c r="K135" i="2" s="1"/>
  <c r="F135" i="2"/>
  <c r="G135" i="2" l="1"/>
  <c r="H135" i="2" s="1"/>
  <c r="J135" i="2" s="1"/>
  <c r="D136" i="2" s="1"/>
  <c r="F136" i="2" l="1"/>
  <c r="I136" i="2"/>
  <c r="K136" i="2" s="1"/>
  <c r="G136" i="2" l="1"/>
  <c r="H136" i="2" s="1"/>
  <c r="J136" i="2" s="1"/>
  <c r="D137" i="2" s="1"/>
  <c r="F137" i="2" l="1"/>
  <c r="I137" i="2"/>
  <c r="K137" i="2" s="1"/>
  <c r="G137" i="2" l="1"/>
  <c r="H137" i="2" s="1"/>
  <c r="J137" i="2" s="1"/>
  <c r="D138" i="2" s="1"/>
  <c r="F138" i="2" l="1"/>
  <c r="I138" i="2"/>
  <c r="K138" i="2" s="1"/>
  <c r="G138" i="2" l="1"/>
  <c r="H138" i="2" s="1"/>
  <c r="J138" i="2" s="1"/>
  <c r="D139" i="2" s="1"/>
  <c r="F139" i="2" l="1"/>
  <c r="I139" i="2"/>
  <c r="K139" i="2" s="1"/>
  <c r="G139" i="2" l="1"/>
  <c r="H139" i="2" s="1"/>
  <c r="J139" i="2" s="1"/>
  <c r="D140" i="2" s="1"/>
  <c r="I140" i="2" l="1"/>
  <c r="K140" i="2" s="1"/>
  <c r="F140" i="2"/>
  <c r="G140" i="2" l="1"/>
  <c r="H140" i="2" s="1"/>
  <c r="J140" i="2" s="1"/>
  <c r="D141" i="2" s="1"/>
  <c r="I141" i="2" l="1"/>
  <c r="K141" i="2" s="1"/>
  <c r="F141" i="2"/>
  <c r="G141" i="2" l="1"/>
  <c r="H141" i="2" s="1"/>
  <c r="J141" i="2" s="1"/>
  <c r="D142" i="2" s="1"/>
  <c r="I142" i="2" l="1"/>
  <c r="K142" i="2" s="1"/>
  <c r="F142" i="2"/>
  <c r="G142" i="2" l="1"/>
  <c r="H142" i="2" s="1"/>
  <c r="J142" i="2" s="1"/>
  <c r="D143" i="2" s="1"/>
  <c r="I143" i="2" l="1"/>
  <c r="K143" i="2" s="1"/>
  <c r="F143" i="2"/>
  <c r="G143" i="2" l="1"/>
  <c r="H143" i="2" s="1"/>
  <c r="J143" i="2" s="1"/>
  <c r="D144" i="2" s="1"/>
  <c r="F144" i="2" l="1"/>
  <c r="I144" i="2"/>
  <c r="K144" i="2" s="1"/>
  <c r="G144" i="2" l="1"/>
  <c r="H144" i="2" s="1"/>
  <c r="J144" i="2" s="1"/>
  <c r="D145" i="2" s="1"/>
  <c r="F145" i="2" l="1"/>
  <c r="I145" i="2"/>
  <c r="K145" i="2" s="1"/>
  <c r="G145" i="2" l="1"/>
  <c r="H145" i="2" s="1"/>
  <c r="J145" i="2" s="1"/>
  <c r="D146" i="2" s="1"/>
  <c r="F146" i="2" l="1"/>
  <c r="I146" i="2"/>
  <c r="K146" i="2" s="1"/>
  <c r="G146" i="2" l="1"/>
  <c r="H146" i="2" s="1"/>
  <c r="J146" i="2" s="1"/>
  <c r="D147" i="2" s="1"/>
  <c r="F147" i="2" l="1"/>
  <c r="I147" i="2"/>
  <c r="K147" i="2" s="1"/>
  <c r="G147" i="2" l="1"/>
  <c r="H147" i="2" s="1"/>
  <c r="J147" i="2" s="1"/>
  <c r="D148" i="2" s="1"/>
  <c r="I148" i="2" l="1"/>
  <c r="K148" i="2" s="1"/>
  <c r="F148" i="2"/>
  <c r="G148" i="2" l="1"/>
  <c r="H148" i="2" s="1"/>
  <c r="J148" i="2" s="1"/>
  <c r="D149" i="2" s="1"/>
  <c r="F149" i="2" l="1"/>
  <c r="I149" i="2"/>
  <c r="K149" i="2" s="1"/>
  <c r="G149" i="2" l="1"/>
  <c r="H149" i="2" s="1"/>
  <c r="J149" i="2" s="1"/>
  <c r="D150" i="2" s="1"/>
  <c r="I150" i="2" l="1"/>
  <c r="K150" i="2" s="1"/>
  <c r="F150" i="2"/>
  <c r="G150" i="2" l="1"/>
  <c r="H150" i="2" s="1"/>
  <c r="J150" i="2" s="1"/>
  <c r="D151" i="2" s="1"/>
  <c r="I151" i="2" l="1"/>
  <c r="K151" i="2" s="1"/>
  <c r="F151" i="2"/>
  <c r="G151" i="2" l="1"/>
  <c r="H151" i="2" s="1"/>
  <c r="J151" i="2" s="1"/>
  <c r="D152" i="2" s="1"/>
  <c r="F152" i="2" l="1"/>
  <c r="I152" i="2"/>
  <c r="K152" i="2" s="1"/>
  <c r="G152" i="2" l="1"/>
  <c r="H152" i="2" s="1"/>
  <c r="J152" i="2" s="1"/>
  <c r="D153" i="2" s="1"/>
  <c r="I153" i="2" l="1"/>
  <c r="K153" i="2" s="1"/>
  <c r="F153" i="2"/>
  <c r="G153" i="2" l="1"/>
  <c r="H153" i="2" s="1"/>
  <c r="J153" i="2" s="1"/>
  <c r="D154" i="2" s="1"/>
  <c r="I154" i="2" l="1"/>
  <c r="K154" i="2" s="1"/>
  <c r="F154" i="2"/>
  <c r="G154" i="2" l="1"/>
  <c r="H154" i="2" s="1"/>
  <c r="J154" i="2" s="1"/>
  <c r="D155" i="2" s="1"/>
  <c r="I155" i="2" l="1"/>
  <c r="K155" i="2" s="1"/>
  <c r="F155" i="2"/>
  <c r="G155" i="2" l="1"/>
  <c r="H155" i="2" s="1"/>
  <c r="J155" i="2" s="1"/>
  <c r="D156" i="2" s="1"/>
  <c r="I156" i="2" l="1"/>
  <c r="K156" i="2" s="1"/>
  <c r="F156" i="2"/>
  <c r="G156" i="2" l="1"/>
  <c r="H156" i="2" s="1"/>
  <c r="J156" i="2" s="1"/>
  <c r="D157" i="2" s="1"/>
  <c r="F157" i="2" l="1"/>
  <c r="I157" i="2"/>
  <c r="K157" i="2" s="1"/>
  <c r="G157" i="2" l="1"/>
  <c r="H157" i="2" s="1"/>
  <c r="J157" i="2" s="1"/>
  <c r="D158" i="2" s="1"/>
  <c r="I158" i="2" l="1"/>
  <c r="K158" i="2" s="1"/>
  <c r="F158" i="2"/>
  <c r="G158" i="2" l="1"/>
  <c r="H158" i="2" s="1"/>
  <c r="J158" i="2" s="1"/>
  <c r="D159" i="2" s="1"/>
  <c r="I159" i="2" l="1"/>
  <c r="K159" i="2" s="1"/>
  <c r="F159" i="2"/>
  <c r="G159" i="2" l="1"/>
  <c r="H159" i="2" s="1"/>
  <c r="J159" i="2" s="1"/>
  <c r="D160" i="2" s="1"/>
  <c r="F160" i="2" l="1"/>
  <c r="I160" i="2"/>
  <c r="K160" i="2" s="1"/>
  <c r="G160" i="2" l="1"/>
  <c r="H160" i="2" s="1"/>
  <c r="J160" i="2" s="1"/>
  <c r="D161" i="2" s="1"/>
  <c r="F161" i="2" l="1"/>
  <c r="I161" i="2"/>
  <c r="K161" i="2" s="1"/>
  <c r="G161" i="2" l="1"/>
  <c r="H161" i="2" s="1"/>
  <c r="J161" i="2" s="1"/>
  <c r="D162" i="2" s="1"/>
  <c r="I162" i="2" l="1"/>
  <c r="K162" i="2" s="1"/>
  <c r="F162" i="2"/>
  <c r="G162" i="2" l="1"/>
  <c r="H162" i="2" s="1"/>
  <c r="J162" i="2" s="1"/>
  <c r="D163" i="2" s="1"/>
  <c r="I163" i="2" l="1"/>
  <c r="K163" i="2" s="1"/>
  <c r="F163" i="2"/>
  <c r="G163" i="2" l="1"/>
  <c r="H163" i="2" s="1"/>
  <c r="J163" i="2" s="1"/>
  <c r="D164" i="2" s="1"/>
  <c r="F164" i="2" l="1"/>
  <c r="I164" i="2"/>
  <c r="K164" i="2" s="1"/>
  <c r="G164" i="2" l="1"/>
  <c r="H164" i="2" s="1"/>
  <c r="J164" i="2" s="1"/>
  <c r="D165" i="2" s="1"/>
  <c r="I165" i="2" l="1"/>
  <c r="K165" i="2" s="1"/>
  <c r="F165" i="2"/>
  <c r="G165" i="2" l="1"/>
  <c r="H165" i="2" s="1"/>
  <c r="J165" i="2" s="1"/>
  <c r="D166" i="2" s="1"/>
  <c r="F166" i="2" l="1"/>
  <c r="I166" i="2"/>
  <c r="K166" i="2" s="1"/>
  <c r="G166" i="2" l="1"/>
  <c r="H166" i="2" s="1"/>
  <c r="J166" i="2" s="1"/>
  <c r="D167" i="2" s="1"/>
  <c r="I167" i="2" l="1"/>
  <c r="K167" i="2" s="1"/>
  <c r="F167" i="2"/>
  <c r="G167" i="2" l="1"/>
  <c r="H167" i="2" s="1"/>
  <c r="J167" i="2" s="1"/>
  <c r="D168" i="2" s="1"/>
  <c r="I168" i="2" l="1"/>
  <c r="K168" i="2" s="1"/>
  <c r="F168" i="2"/>
  <c r="G168" i="2" l="1"/>
  <c r="H168" i="2" s="1"/>
  <c r="J168" i="2" s="1"/>
  <c r="D169" i="2" s="1"/>
  <c r="F169" i="2" l="1"/>
  <c r="I169" i="2"/>
  <c r="K169" i="2" s="1"/>
  <c r="G169" i="2" l="1"/>
  <c r="H169" i="2" s="1"/>
  <c r="J169" i="2" s="1"/>
  <c r="D170" i="2" s="1"/>
  <c r="F170" i="2" l="1"/>
  <c r="I170" i="2"/>
  <c r="K170" i="2" s="1"/>
  <c r="G170" i="2" l="1"/>
  <c r="H170" i="2" s="1"/>
  <c r="J170" i="2" s="1"/>
  <c r="D171" i="2" s="1"/>
  <c r="I171" i="2" l="1"/>
  <c r="K171" i="2" s="1"/>
  <c r="F171" i="2"/>
  <c r="G171" i="2" l="1"/>
  <c r="H171" i="2" s="1"/>
  <c r="J171" i="2" s="1"/>
  <c r="D172" i="2" s="1"/>
  <c r="I172" i="2" l="1"/>
  <c r="K172" i="2" s="1"/>
  <c r="F172" i="2"/>
  <c r="G172" i="2" l="1"/>
  <c r="H172" i="2" s="1"/>
  <c r="J172" i="2" s="1"/>
  <c r="D173" i="2" s="1"/>
  <c r="F173" i="2" l="1"/>
  <c r="I173" i="2"/>
  <c r="K173" i="2" s="1"/>
  <c r="G173" i="2" l="1"/>
  <c r="H173" i="2" s="1"/>
  <c r="J173" i="2" s="1"/>
  <c r="D174" i="2" s="1"/>
  <c r="F174" i="2" l="1"/>
  <c r="I174" i="2"/>
  <c r="K174" i="2" s="1"/>
  <c r="G174" i="2" l="1"/>
  <c r="H174" i="2" s="1"/>
  <c r="J174" i="2" s="1"/>
  <c r="D175" i="2" s="1"/>
  <c r="I175" i="2" l="1"/>
  <c r="K175" i="2" s="1"/>
  <c r="F175" i="2"/>
  <c r="G175" i="2" l="1"/>
  <c r="H175" i="2" s="1"/>
  <c r="J175" i="2" s="1"/>
  <c r="D176" i="2" s="1"/>
  <c r="I176" i="2" l="1"/>
  <c r="K176" i="2" s="1"/>
  <c r="F176" i="2"/>
  <c r="G176" i="2" l="1"/>
  <c r="H176" i="2" s="1"/>
  <c r="J176" i="2" s="1"/>
  <c r="D177" i="2" s="1"/>
  <c r="F177" i="2" l="1"/>
  <c r="I177" i="2"/>
  <c r="K177" i="2" s="1"/>
  <c r="G177" i="2" l="1"/>
  <c r="H177" i="2" s="1"/>
  <c r="J177" i="2" s="1"/>
  <c r="D178" i="2" s="1"/>
  <c r="F178" i="2" l="1"/>
  <c r="I178" i="2"/>
  <c r="K178" i="2" s="1"/>
  <c r="G178" i="2" l="1"/>
  <c r="H178" i="2" s="1"/>
  <c r="J178" i="2" s="1"/>
  <c r="D179" i="2" s="1"/>
  <c r="F179" i="2" l="1"/>
  <c r="I179" i="2"/>
  <c r="K179" i="2" s="1"/>
  <c r="G179" i="2" l="1"/>
  <c r="H179" i="2" s="1"/>
  <c r="J179" i="2" s="1"/>
  <c r="D180" i="2" s="1"/>
  <c r="I180" i="2" l="1"/>
  <c r="K180" i="2" s="1"/>
  <c r="F180" i="2"/>
  <c r="G180" i="2" l="1"/>
  <c r="H180" i="2" s="1"/>
  <c r="J180" i="2" s="1"/>
  <c r="D181" i="2" s="1"/>
  <c r="I181" i="2" l="1"/>
  <c r="K181" i="2" s="1"/>
  <c r="F181" i="2"/>
  <c r="G181" i="2" l="1"/>
  <c r="H181" i="2" s="1"/>
  <c r="J181" i="2" s="1"/>
  <c r="D182" i="2" s="1"/>
  <c r="I182" i="2" l="1"/>
  <c r="K182" i="2" s="1"/>
  <c r="F182" i="2"/>
  <c r="G182" i="2" l="1"/>
  <c r="H182" i="2" s="1"/>
  <c r="J182" i="2" s="1"/>
  <c r="D183" i="2" s="1"/>
  <c r="I183" i="2" l="1"/>
  <c r="K183" i="2" s="1"/>
  <c r="F183" i="2"/>
  <c r="G183" i="2" l="1"/>
  <c r="H183" i="2" s="1"/>
  <c r="J183" i="2" s="1"/>
  <c r="D184" i="2" s="1"/>
  <c r="I184" i="2" l="1"/>
  <c r="K184" i="2" s="1"/>
  <c r="F184" i="2"/>
  <c r="G184" i="2" l="1"/>
  <c r="H184" i="2" s="1"/>
  <c r="J184" i="2" s="1"/>
  <c r="D185" i="2" s="1"/>
  <c r="I185" i="2" l="1"/>
  <c r="K185" i="2" s="1"/>
  <c r="F185" i="2"/>
  <c r="G185" i="2" l="1"/>
  <c r="H185" i="2" s="1"/>
  <c r="J185" i="2" s="1"/>
  <c r="D186" i="2" s="1"/>
  <c r="F186" i="2" l="1"/>
  <c r="I186" i="2"/>
  <c r="K186" i="2" s="1"/>
  <c r="G186" i="2" l="1"/>
  <c r="H186" i="2" s="1"/>
  <c r="J186" i="2" s="1"/>
  <c r="D187" i="2" s="1"/>
  <c r="F187" i="2" l="1"/>
  <c r="I187" i="2"/>
  <c r="K187" i="2" s="1"/>
  <c r="G187" i="2" l="1"/>
  <c r="H187" i="2" s="1"/>
  <c r="J187" i="2" s="1"/>
  <c r="D188" i="2" s="1"/>
  <c r="I188" i="2" l="1"/>
  <c r="K188" i="2" s="1"/>
  <c r="F188" i="2"/>
  <c r="G188" i="2" l="1"/>
  <c r="H188" i="2" s="1"/>
  <c r="J188" i="2" s="1"/>
  <c r="D189" i="2" s="1"/>
  <c r="I189" i="2" l="1"/>
  <c r="K189" i="2" s="1"/>
  <c r="F189" i="2"/>
  <c r="G189" i="2" l="1"/>
  <c r="H189" i="2" s="1"/>
  <c r="J189" i="2" s="1"/>
  <c r="D190" i="2" s="1"/>
  <c r="I190" i="2" l="1"/>
  <c r="K190" i="2" s="1"/>
  <c r="F190" i="2"/>
  <c r="G190" i="2" l="1"/>
  <c r="H190" i="2" s="1"/>
  <c r="J190" i="2" s="1"/>
  <c r="D191" i="2" s="1"/>
  <c r="I191" i="2" l="1"/>
  <c r="K191" i="2" s="1"/>
  <c r="F191" i="2"/>
  <c r="G191" i="2" l="1"/>
  <c r="H191" i="2" s="1"/>
  <c r="J191" i="2" s="1"/>
  <c r="D192" i="2" s="1"/>
  <c r="I192" i="2" l="1"/>
  <c r="K192" i="2" s="1"/>
  <c r="F192" i="2"/>
  <c r="G192" i="2" l="1"/>
  <c r="H192" i="2" s="1"/>
  <c r="J192" i="2" s="1"/>
  <c r="D193" i="2" s="1"/>
  <c r="I193" i="2" l="1"/>
  <c r="K193" i="2" s="1"/>
  <c r="F193" i="2"/>
  <c r="G193" i="2" l="1"/>
  <c r="H193" i="2" s="1"/>
  <c r="J193" i="2" s="1"/>
  <c r="D194" i="2" s="1"/>
  <c r="F194" i="2" l="1"/>
  <c r="I194" i="2"/>
  <c r="K194" i="2" s="1"/>
  <c r="G194" i="2" l="1"/>
  <c r="H194" i="2" s="1"/>
  <c r="J194" i="2" s="1"/>
  <c r="D195" i="2" s="1"/>
  <c r="F195" i="2" l="1"/>
  <c r="I195" i="2"/>
  <c r="K195" i="2" s="1"/>
  <c r="G195" i="2" l="1"/>
  <c r="H195" i="2" s="1"/>
  <c r="J195" i="2" s="1"/>
  <c r="D196" i="2" s="1"/>
  <c r="I196" i="2" l="1"/>
  <c r="K196" i="2" s="1"/>
  <c r="F196" i="2"/>
  <c r="G196" i="2" l="1"/>
  <c r="H196" i="2" s="1"/>
  <c r="J196" i="2" s="1"/>
  <c r="D197" i="2" s="1"/>
  <c r="F197" i="2" l="1"/>
  <c r="I197" i="2"/>
  <c r="K197" i="2" s="1"/>
  <c r="G197" i="2" l="1"/>
  <c r="H197" i="2" s="1"/>
  <c r="J197" i="2" s="1"/>
  <c r="D198" i="2" s="1"/>
  <c r="I198" i="2" l="1"/>
  <c r="K198" i="2" s="1"/>
  <c r="F198" i="2"/>
  <c r="G198" i="2" l="1"/>
  <c r="H198" i="2" s="1"/>
  <c r="J198" i="2" s="1"/>
  <c r="D199" i="2" s="1"/>
  <c r="I199" i="2" l="1"/>
  <c r="K199" i="2" s="1"/>
  <c r="F199" i="2"/>
  <c r="G199" i="2" l="1"/>
  <c r="H199" i="2" s="1"/>
  <c r="J199" i="2" s="1"/>
  <c r="D200" i="2" s="1"/>
  <c r="I200" i="2" l="1"/>
  <c r="K200" i="2" s="1"/>
  <c r="F200" i="2"/>
  <c r="G200" i="2" l="1"/>
  <c r="H200" i="2" s="1"/>
  <c r="J200" i="2" s="1"/>
  <c r="D201" i="2" s="1"/>
  <c r="I201" i="2" l="1"/>
  <c r="K201" i="2" s="1"/>
  <c r="F201" i="2"/>
  <c r="G201" i="2" l="1"/>
  <c r="H201" i="2" s="1"/>
  <c r="J201" i="2" s="1"/>
  <c r="D202" i="2" s="1"/>
  <c r="F202" i="2" l="1"/>
  <c r="I202" i="2"/>
  <c r="K202" i="2" s="1"/>
  <c r="G202" i="2" l="1"/>
  <c r="H202" i="2" s="1"/>
  <c r="J202" i="2" s="1"/>
  <c r="D203" i="2" s="1"/>
  <c r="F203" i="2" l="1"/>
  <c r="I203" i="2"/>
  <c r="K203" i="2" s="1"/>
  <c r="G203" i="2" l="1"/>
  <c r="H203" i="2" s="1"/>
  <c r="J203" i="2" s="1"/>
  <c r="D204" i="2" s="1"/>
  <c r="I204" i="2" l="1"/>
  <c r="K204" i="2" s="1"/>
  <c r="F204" i="2"/>
  <c r="G204" i="2" l="1"/>
  <c r="H204" i="2" s="1"/>
  <c r="J204" i="2" s="1"/>
  <c r="D205" i="2" s="1"/>
  <c r="F205" i="2" l="1"/>
  <c r="I205" i="2"/>
  <c r="K205" i="2" s="1"/>
  <c r="G205" i="2" l="1"/>
  <c r="H205" i="2" s="1"/>
  <c r="J205" i="2" s="1"/>
  <c r="D206" i="2" s="1"/>
  <c r="I206" i="2" l="1"/>
  <c r="F206" i="2"/>
  <c r="G206" i="2" l="1"/>
  <c r="H206" i="2" s="1"/>
  <c r="J206" i="2" s="1"/>
  <c r="D207" i="2" s="1"/>
  <c r="K206" i="2"/>
  <c r="I207" i="2" l="1"/>
  <c r="F207" i="2"/>
  <c r="G207" i="2" l="1"/>
  <c r="H207" i="2" s="1"/>
  <c r="J207" i="2" s="1"/>
  <c r="D208" i="2" s="1"/>
  <c r="K207" i="2"/>
  <c r="I208" i="2" l="1"/>
  <c r="F208" i="2"/>
  <c r="G208" i="2" l="1"/>
  <c r="H208" i="2" s="1"/>
  <c r="J208" i="2" s="1"/>
  <c r="D209" i="2" s="1"/>
  <c r="K208" i="2"/>
  <c r="I209" i="2" l="1"/>
  <c r="F209" i="2"/>
  <c r="G209" i="2" l="1"/>
  <c r="H209" i="2" s="1"/>
  <c r="J209" i="2" s="1"/>
  <c r="D210" i="2" s="1"/>
  <c r="K209" i="2"/>
  <c r="I210" i="2" l="1"/>
  <c r="F210" i="2"/>
  <c r="G210" i="2" l="1"/>
  <c r="H210" i="2" s="1"/>
  <c r="J210" i="2" s="1"/>
  <c r="D211" i="2" s="1"/>
  <c r="K210" i="2"/>
  <c r="F211" i="2" l="1"/>
  <c r="I211" i="2"/>
  <c r="K211" i="2" l="1"/>
  <c r="G211" i="2"/>
  <c r="H211" i="2" s="1"/>
  <c r="J211" i="2" s="1"/>
  <c r="D212" i="2" s="1"/>
  <c r="F212" i="2" l="1"/>
  <c r="I212" i="2"/>
  <c r="K212" i="2" s="1"/>
  <c r="G212" i="2" l="1"/>
  <c r="H212" i="2" s="1"/>
  <c r="J212" i="2" s="1"/>
  <c r="D213" i="2" s="1"/>
  <c r="I213" i="2" l="1"/>
  <c r="K213" i="2" s="1"/>
  <c r="F213" i="2"/>
  <c r="G213" i="2" l="1"/>
  <c r="H213" i="2" s="1"/>
  <c r="J213" i="2" s="1"/>
  <c r="D214" i="2" s="1"/>
  <c r="I214" i="2" l="1"/>
  <c r="K214" i="2" s="1"/>
  <c r="F214" i="2"/>
  <c r="G214" i="2" l="1"/>
  <c r="H214" i="2" s="1"/>
  <c r="J214" i="2" s="1"/>
  <c r="D215" i="2" s="1"/>
  <c r="I215" i="2" l="1"/>
  <c r="K215" i="2" s="1"/>
  <c r="F215" i="2"/>
  <c r="G215" i="2" l="1"/>
  <c r="H215" i="2" s="1"/>
  <c r="J215" i="2" s="1"/>
  <c r="D216" i="2" s="1"/>
  <c r="I216" i="2" l="1"/>
  <c r="K216" i="2" s="1"/>
  <c r="F216" i="2"/>
  <c r="G216" i="2" l="1"/>
  <c r="H216" i="2" s="1"/>
  <c r="J216" i="2" s="1"/>
  <c r="D217" i="2" s="1"/>
  <c r="I217" i="2" l="1"/>
  <c r="K217" i="2" s="1"/>
  <c r="F217" i="2"/>
  <c r="G217" i="2" l="1"/>
  <c r="H217" i="2" s="1"/>
  <c r="J217" i="2" s="1"/>
  <c r="D218" i="2" s="1"/>
  <c r="I218" i="2" l="1"/>
  <c r="K218" i="2" s="1"/>
  <c r="F218" i="2"/>
  <c r="G218" i="2" l="1"/>
  <c r="H218" i="2" s="1"/>
  <c r="J218" i="2" s="1"/>
  <c r="D219" i="2" s="1"/>
  <c r="I219" i="2" l="1"/>
  <c r="K219" i="2" s="1"/>
  <c r="F219" i="2"/>
  <c r="G219" i="2" l="1"/>
  <c r="H219" i="2" s="1"/>
  <c r="J219" i="2" s="1"/>
  <c r="D220" i="2" s="1"/>
  <c r="I220" i="2" l="1"/>
  <c r="K220" i="2" s="1"/>
  <c r="F220" i="2"/>
  <c r="G220" i="2" l="1"/>
  <c r="H220" i="2" s="1"/>
  <c r="J220" i="2" s="1"/>
  <c r="D221" i="2" s="1"/>
  <c r="I221" i="2" l="1"/>
  <c r="K221" i="2" s="1"/>
  <c r="F221" i="2"/>
  <c r="G221" i="2" l="1"/>
  <c r="H221" i="2" s="1"/>
  <c r="J221" i="2" s="1"/>
  <c r="D222" i="2" s="1"/>
  <c r="I222" i="2" l="1"/>
  <c r="K222" i="2" s="1"/>
  <c r="F222" i="2"/>
  <c r="G222" i="2" l="1"/>
  <c r="H222" i="2" s="1"/>
  <c r="J222" i="2" s="1"/>
  <c r="D223" i="2" s="1"/>
  <c r="I223" i="2" l="1"/>
  <c r="K223" i="2" s="1"/>
  <c r="F223" i="2"/>
  <c r="G223" i="2" l="1"/>
  <c r="H223" i="2" s="1"/>
  <c r="J223" i="2" s="1"/>
  <c r="D224" i="2" s="1"/>
  <c r="I224" i="2" l="1"/>
  <c r="K224" i="2" s="1"/>
  <c r="F224" i="2"/>
  <c r="G224" i="2" l="1"/>
  <c r="H224" i="2" s="1"/>
  <c r="J224" i="2" s="1"/>
  <c r="D225" i="2" s="1"/>
  <c r="I225" i="2" l="1"/>
  <c r="K225" i="2" s="1"/>
  <c r="F225" i="2"/>
  <c r="G225" i="2" l="1"/>
  <c r="H225" i="2" s="1"/>
  <c r="J225" i="2" s="1"/>
  <c r="D226" i="2" s="1"/>
  <c r="F226" i="2" l="1"/>
  <c r="I226" i="2"/>
  <c r="K226" i="2" s="1"/>
  <c r="G226" i="2" l="1"/>
  <c r="H226" i="2" s="1"/>
  <c r="J226" i="2" s="1"/>
  <c r="D227" i="2" s="1"/>
  <c r="I227" i="2" l="1"/>
  <c r="K227" i="2" s="1"/>
  <c r="F227" i="2"/>
  <c r="G227" i="2" l="1"/>
  <c r="H227" i="2" s="1"/>
  <c r="J227" i="2" s="1"/>
  <c r="D228" i="2" s="1"/>
  <c r="I228" i="2" l="1"/>
  <c r="K228" i="2" s="1"/>
  <c r="F228" i="2"/>
  <c r="G228" i="2" l="1"/>
  <c r="H228" i="2" s="1"/>
  <c r="J228" i="2" s="1"/>
  <c r="D229" i="2" s="1"/>
  <c r="I229" i="2" l="1"/>
  <c r="K229" i="2" s="1"/>
  <c r="F229" i="2"/>
  <c r="G229" i="2" l="1"/>
  <c r="H229" i="2" s="1"/>
  <c r="J229" i="2" s="1"/>
  <c r="D230" i="2" s="1"/>
  <c r="I230" i="2" l="1"/>
  <c r="K230" i="2" s="1"/>
  <c r="F230" i="2"/>
  <c r="G230" i="2" l="1"/>
  <c r="H230" i="2" s="1"/>
  <c r="J230" i="2" s="1"/>
  <c r="D231" i="2" s="1"/>
  <c r="I231" i="2" l="1"/>
  <c r="K231" i="2" s="1"/>
  <c r="F231" i="2"/>
  <c r="G231" i="2" l="1"/>
  <c r="H231" i="2" s="1"/>
  <c r="J231" i="2" s="1"/>
  <c r="D232" i="2" s="1"/>
  <c r="F232" i="2" l="1"/>
  <c r="I232" i="2"/>
  <c r="K232" i="2" s="1"/>
  <c r="G232" i="2" l="1"/>
  <c r="H232" i="2" s="1"/>
  <c r="J232" i="2" s="1"/>
  <c r="D233" i="2" s="1"/>
  <c r="F233" i="2" l="1"/>
  <c r="I233" i="2"/>
  <c r="K233" i="2" s="1"/>
  <c r="G233" i="2" l="1"/>
  <c r="H233" i="2" s="1"/>
  <c r="J233" i="2" s="1"/>
  <c r="D234" i="2" s="1"/>
  <c r="F234" i="2" l="1"/>
  <c r="I234" i="2"/>
  <c r="K234" i="2" s="1"/>
  <c r="G234" i="2" l="1"/>
  <c r="H234" i="2" s="1"/>
  <c r="J234" i="2" s="1"/>
  <c r="D235" i="2" s="1"/>
  <c r="I235" i="2" l="1"/>
  <c r="K235" i="2" s="1"/>
  <c r="F235" i="2"/>
  <c r="G235" i="2" l="1"/>
  <c r="H235" i="2" s="1"/>
  <c r="J235" i="2" s="1"/>
  <c r="D236" i="2" s="1"/>
  <c r="I236" i="2" l="1"/>
  <c r="K236" i="2" s="1"/>
  <c r="F236" i="2"/>
  <c r="G236" i="2" l="1"/>
  <c r="H236" i="2" s="1"/>
  <c r="J236" i="2" s="1"/>
  <c r="D237" i="2" s="1"/>
  <c r="I237" i="2" l="1"/>
  <c r="K237" i="2" s="1"/>
  <c r="F237" i="2"/>
  <c r="G237" i="2" l="1"/>
  <c r="H237" i="2" s="1"/>
  <c r="J237" i="2" s="1"/>
  <c r="D238" i="2" s="1"/>
  <c r="F238" i="2" l="1"/>
  <c r="I238" i="2"/>
  <c r="K238" i="2" s="1"/>
  <c r="G238" i="2" l="1"/>
  <c r="H238" i="2" s="1"/>
  <c r="J238" i="2" s="1"/>
  <c r="D239" i="2" s="1"/>
  <c r="I239" i="2" l="1"/>
  <c r="K239" i="2" s="1"/>
  <c r="F239" i="2"/>
  <c r="G239" i="2" l="1"/>
  <c r="H239" i="2" s="1"/>
  <c r="J239" i="2" s="1"/>
  <c r="D240" i="2" s="1"/>
  <c r="I240" i="2" l="1"/>
  <c r="K240" i="2" s="1"/>
  <c r="F240" i="2"/>
  <c r="G240" i="2" l="1"/>
  <c r="H240" i="2" s="1"/>
  <c r="J240" i="2" s="1"/>
  <c r="D241" i="2" s="1"/>
  <c r="I241" i="2" l="1"/>
  <c r="K241" i="2" s="1"/>
  <c r="F241" i="2"/>
  <c r="G241" i="2" l="1"/>
  <c r="H241" i="2" s="1"/>
  <c r="J241" i="2" s="1"/>
  <c r="D242" i="2" s="1"/>
  <c r="I242" i="2" l="1"/>
  <c r="K242" i="2" s="1"/>
  <c r="F242" i="2"/>
  <c r="G242" i="2" l="1"/>
  <c r="H242" i="2" s="1"/>
  <c r="J242" i="2" s="1"/>
  <c r="D243" i="2" s="1"/>
  <c r="I243" i="2" l="1"/>
  <c r="K243" i="2" s="1"/>
  <c r="F243" i="2"/>
  <c r="G243" i="2" l="1"/>
  <c r="H243" i="2" s="1"/>
  <c r="J243" i="2" s="1"/>
  <c r="D244" i="2" s="1"/>
  <c r="F244" i="2" l="1"/>
  <c r="I244" i="2"/>
  <c r="K244" i="2" s="1"/>
  <c r="G244" i="2" l="1"/>
  <c r="H244" i="2" s="1"/>
  <c r="J244" i="2" s="1"/>
  <c r="D245" i="2" s="1"/>
  <c r="I245" i="2" l="1"/>
  <c r="K245" i="2" s="1"/>
  <c r="F245" i="2"/>
  <c r="G245" i="2" l="1"/>
  <c r="H245" i="2" s="1"/>
  <c r="J245" i="2" s="1"/>
  <c r="D246" i="2" s="1"/>
  <c r="I246" i="2" l="1"/>
  <c r="K246" i="2" s="1"/>
  <c r="F246" i="2"/>
  <c r="G246" i="2" l="1"/>
  <c r="H246" i="2" s="1"/>
  <c r="J246" i="2" s="1"/>
  <c r="D247" i="2" s="1"/>
  <c r="I247" i="2" l="1"/>
  <c r="K247" i="2" s="1"/>
  <c r="F247" i="2"/>
  <c r="G247" i="2" l="1"/>
  <c r="H247" i="2" s="1"/>
  <c r="J247" i="2" s="1"/>
  <c r="D248" i="2" s="1"/>
  <c r="I248" i="2" l="1"/>
  <c r="K248" i="2" s="1"/>
  <c r="F248" i="2"/>
  <c r="G248" i="2" l="1"/>
  <c r="H248" i="2" s="1"/>
  <c r="J248" i="2" s="1"/>
  <c r="D249" i="2" s="1"/>
  <c r="I249" i="2" l="1"/>
  <c r="K249" i="2" s="1"/>
  <c r="F249" i="2"/>
  <c r="G249" i="2" l="1"/>
  <c r="H249" i="2" s="1"/>
  <c r="J249" i="2" s="1"/>
  <c r="D250" i="2" s="1"/>
  <c r="I250" i="2" l="1"/>
  <c r="K250" i="2" s="1"/>
  <c r="F250" i="2"/>
  <c r="G250" i="2" l="1"/>
  <c r="H250" i="2" s="1"/>
  <c r="J250" i="2" s="1"/>
  <c r="D251" i="2" s="1"/>
  <c r="I251" i="2" l="1"/>
  <c r="K251" i="2" s="1"/>
  <c r="F251" i="2"/>
  <c r="G251" i="2" l="1"/>
  <c r="H251" i="2" s="1"/>
  <c r="J251" i="2" s="1"/>
  <c r="D252" i="2" s="1"/>
  <c r="I252" i="2" l="1"/>
  <c r="K252" i="2" s="1"/>
  <c r="F252" i="2"/>
  <c r="G252" i="2" l="1"/>
  <c r="H252" i="2" s="1"/>
  <c r="J252" i="2" s="1"/>
  <c r="D253" i="2" s="1"/>
  <c r="I253" i="2" l="1"/>
  <c r="K253" i="2" s="1"/>
  <c r="F253" i="2"/>
  <c r="G253" i="2" l="1"/>
  <c r="H253" i="2" s="1"/>
  <c r="J253" i="2" s="1"/>
  <c r="D254" i="2" s="1"/>
  <c r="I254" i="2" l="1"/>
  <c r="K254" i="2" s="1"/>
  <c r="F254" i="2"/>
  <c r="G254" i="2" l="1"/>
  <c r="H254" i="2" s="1"/>
  <c r="J254" i="2" s="1"/>
  <c r="D255" i="2" s="1"/>
  <c r="I255" i="2" l="1"/>
  <c r="K255" i="2" s="1"/>
  <c r="F255" i="2"/>
  <c r="G255" i="2" l="1"/>
  <c r="H255" i="2" s="1"/>
  <c r="J255" i="2" s="1"/>
  <c r="D256" i="2" s="1"/>
  <c r="I256" i="2" l="1"/>
  <c r="K256" i="2" s="1"/>
  <c r="F256" i="2"/>
  <c r="G256" i="2" l="1"/>
  <c r="H256" i="2" s="1"/>
  <c r="J256" i="2" s="1"/>
  <c r="D257" i="2" s="1"/>
  <c r="I257" i="2" l="1"/>
  <c r="K257" i="2" s="1"/>
  <c r="F257" i="2"/>
  <c r="G257" i="2" l="1"/>
  <c r="H257" i="2" s="1"/>
  <c r="J257" i="2" s="1"/>
  <c r="D258" i="2" s="1"/>
  <c r="I258" i="2" l="1"/>
  <c r="K258" i="2" s="1"/>
  <c r="F258" i="2"/>
  <c r="G258" i="2" l="1"/>
  <c r="H258" i="2" s="1"/>
  <c r="J258" i="2" s="1"/>
  <c r="D259" i="2" s="1"/>
  <c r="I259" i="2" l="1"/>
  <c r="K259" i="2" s="1"/>
  <c r="F259" i="2"/>
  <c r="G259" i="2" l="1"/>
  <c r="H259" i="2" s="1"/>
  <c r="J259" i="2" s="1"/>
  <c r="D260" i="2" s="1"/>
  <c r="I260" i="2" l="1"/>
  <c r="K260" i="2" s="1"/>
  <c r="F260" i="2"/>
  <c r="G260" i="2" l="1"/>
  <c r="H260" i="2" s="1"/>
  <c r="J260" i="2" s="1"/>
  <c r="D261" i="2" s="1"/>
  <c r="I261" i="2" l="1"/>
  <c r="K261" i="2" s="1"/>
  <c r="F261" i="2"/>
  <c r="G261" i="2" l="1"/>
  <c r="H261" i="2" s="1"/>
  <c r="J261" i="2" s="1"/>
  <c r="D262" i="2" s="1"/>
  <c r="I262" i="2" l="1"/>
  <c r="K262" i="2" s="1"/>
  <c r="F262" i="2"/>
  <c r="G262" i="2" l="1"/>
  <c r="H262" i="2" s="1"/>
  <c r="J262" i="2" s="1"/>
  <c r="D263" i="2" s="1"/>
  <c r="F263" i="2" l="1"/>
  <c r="I263" i="2"/>
  <c r="K263" i="2" s="1"/>
  <c r="G263" i="2" l="1"/>
  <c r="H263" i="2" s="1"/>
  <c r="J263" i="2" s="1"/>
  <c r="D264" i="2" s="1"/>
  <c r="I264" i="2" l="1"/>
  <c r="K264" i="2" s="1"/>
  <c r="F264" i="2"/>
  <c r="G264" i="2" l="1"/>
  <c r="H264" i="2" s="1"/>
  <c r="J264" i="2" s="1"/>
  <c r="D265" i="2" s="1"/>
  <c r="F265" i="2" l="1"/>
  <c r="I265" i="2"/>
  <c r="K265" i="2" s="1"/>
  <c r="G265" i="2" l="1"/>
  <c r="H265" i="2" s="1"/>
  <c r="J265" i="2" s="1"/>
  <c r="D266" i="2" s="1"/>
  <c r="I266" i="2" l="1"/>
  <c r="F266" i="2"/>
  <c r="K266" i="2" l="1"/>
  <c r="G266" i="2"/>
  <c r="H266" i="2" s="1"/>
  <c r="J266" i="2" s="1"/>
  <c r="D267" i="2" s="1"/>
  <c r="I267" i="2" l="1"/>
  <c r="F267" i="2"/>
  <c r="H267" i="2" l="1"/>
  <c r="J267" i="2" s="1"/>
  <c r="D268" i="2" s="1"/>
  <c r="K267" i="2"/>
  <c r="I268" i="2" l="1"/>
  <c r="F268" i="2"/>
  <c r="G268" i="2" l="1"/>
  <c r="H268" i="2" s="1"/>
  <c r="J268" i="2" s="1"/>
  <c r="D269" i="2" s="1"/>
  <c r="K268" i="2"/>
  <c r="I269" i="2" l="1"/>
  <c r="F269" i="2"/>
  <c r="G269" i="2" l="1"/>
  <c r="H269" i="2" s="1"/>
  <c r="J269" i="2" s="1"/>
  <c r="D270" i="2" s="1"/>
  <c r="K269" i="2"/>
  <c r="F270" i="2" l="1"/>
  <c r="I270" i="2"/>
  <c r="K270" i="2" l="1"/>
  <c r="G270" i="2"/>
  <c r="H270" i="2" s="1"/>
  <c r="J270" i="2" s="1"/>
  <c r="D271" i="2" s="1"/>
  <c r="I271" i="2" l="1"/>
  <c r="F271" i="2"/>
  <c r="G271" i="2" l="1"/>
  <c r="H271" i="2" s="1"/>
  <c r="J271" i="2" s="1"/>
  <c r="D272" i="2" s="1"/>
  <c r="K271" i="2"/>
  <c r="I272" i="2" l="1"/>
  <c r="K272" i="2" s="1"/>
  <c r="F272" i="2"/>
  <c r="G272" i="2" l="1"/>
  <c r="H272" i="2" s="1"/>
  <c r="J272" i="2" s="1"/>
  <c r="D273" i="2" s="1"/>
  <c r="I273" i="2" l="1"/>
  <c r="K273" i="2" s="1"/>
  <c r="F273" i="2"/>
  <c r="G273" i="2" l="1"/>
  <c r="H273" i="2" s="1"/>
  <c r="J273" i="2" s="1"/>
  <c r="D274" i="2" s="1"/>
  <c r="I274" i="2" l="1"/>
  <c r="K274" i="2" s="1"/>
  <c r="F274" i="2"/>
  <c r="G274" i="2" l="1"/>
  <c r="H274" i="2" s="1"/>
  <c r="J274" i="2" s="1"/>
  <c r="D275" i="2" s="1"/>
  <c r="I275" i="2" l="1"/>
  <c r="K275" i="2" s="1"/>
  <c r="F275" i="2"/>
  <c r="G275" i="2" l="1"/>
  <c r="H275" i="2" s="1"/>
  <c r="J275" i="2" s="1"/>
  <c r="D276" i="2" s="1"/>
  <c r="I276" i="2" l="1"/>
  <c r="K276" i="2" s="1"/>
  <c r="F276" i="2"/>
  <c r="G276" i="2" l="1"/>
  <c r="H276" i="2" s="1"/>
  <c r="J276" i="2" s="1"/>
  <c r="D277" i="2" s="1"/>
  <c r="I277" i="2" l="1"/>
  <c r="K277" i="2" s="1"/>
  <c r="F277" i="2"/>
  <c r="G277" i="2" l="1"/>
  <c r="H277" i="2" s="1"/>
  <c r="J277" i="2" s="1"/>
  <c r="D278" i="2" s="1"/>
  <c r="I278" i="2" l="1"/>
  <c r="K278" i="2" s="1"/>
  <c r="F278" i="2"/>
  <c r="G278" i="2" l="1"/>
  <c r="H278" i="2" s="1"/>
  <c r="J278" i="2" s="1"/>
  <c r="D279" i="2" s="1"/>
  <c r="I279" i="2" l="1"/>
  <c r="K279" i="2" s="1"/>
  <c r="F279" i="2"/>
  <c r="G279" i="2" l="1"/>
  <c r="H279" i="2" s="1"/>
  <c r="J279" i="2" s="1"/>
  <c r="D280" i="2" s="1"/>
  <c r="I280" i="2" l="1"/>
  <c r="K280" i="2" s="1"/>
  <c r="F280" i="2"/>
  <c r="G280" i="2" l="1"/>
  <c r="H280" i="2" s="1"/>
  <c r="J280" i="2" s="1"/>
  <c r="D281" i="2" s="1"/>
  <c r="I281" i="2" l="1"/>
  <c r="K281" i="2" s="1"/>
  <c r="F281" i="2"/>
  <c r="G281" i="2" l="1"/>
  <c r="H281" i="2" s="1"/>
  <c r="J281" i="2" s="1"/>
  <c r="D282" i="2" s="1"/>
  <c r="I282" i="2" l="1"/>
  <c r="K282" i="2" s="1"/>
  <c r="F282" i="2"/>
  <c r="G282" i="2" l="1"/>
  <c r="H282" i="2" s="1"/>
  <c r="J282" i="2" s="1"/>
  <c r="D283" i="2" s="1"/>
  <c r="I283" i="2" l="1"/>
  <c r="K283" i="2" s="1"/>
  <c r="F283" i="2"/>
  <c r="G283" i="2" l="1"/>
  <c r="H283" i="2" s="1"/>
  <c r="J283" i="2" s="1"/>
  <c r="D284" i="2" s="1"/>
  <c r="I284" i="2" l="1"/>
  <c r="K284" i="2" s="1"/>
  <c r="F284" i="2"/>
  <c r="G284" i="2" l="1"/>
  <c r="H284" i="2" s="1"/>
  <c r="J284" i="2" s="1"/>
  <c r="D285" i="2" s="1"/>
  <c r="I285" i="2" l="1"/>
  <c r="K285" i="2" s="1"/>
  <c r="F285" i="2"/>
  <c r="G285" i="2" l="1"/>
  <c r="H285" i="2" s="1"/>
  <c r="J285" i="2" s="1"/>
  <c r="D286" i="2" s="1"/>
  <c r="F286" i="2" l="1"/>
  <c r="I286" i="2"/>
  <c r="K286" i="2" s="1"/>
  <c r="G286" i="2" l="1"/>
  <c r="H286" i="2" s="1"/>
  <c r="J286" i="2" s="1"/>
  <c r="D287" i="2" s="1"/>
  <c r="I287" i="2" l="1"/>
  <c r="K287" i="2" s="1"/>
  <c r="F287" i="2"/>
  <c r="G287" i="2" l="1"/>
  <c r="H287" i="2" s="1"/>
  <c r="J287" i="2" s="1"/>
  <c r="D288" i="2" s="1"/>
  <c r="I288" i="2" l="1"/>
  <c r="K288" i="2" s="1"/>
  <c r="F288" i="2"/>
  <c r="G288" i="2" l="1"/>
  <c r="H288" i="2" s="1"/>
  <c r="J288" i="2" s="1"/>
  <c r="D289" i="2" s="1"/>
  <c r="I289" i="2" l="1"/>
  <c r="K289" i="2" s="1"/>
  <c r="F289" i="2"/>
  <c r="G289" i="2" l="1"/>
  <c r="H289" i="2" s="1"/>
  <c r="J289" i="2" s="1"/>
  <c r="D290" i="2" s="1"/>
  <c r="I290" i="2" l="1"/>
  <c r="K290" i="2" s="1"/>
  <c r="F290" i="2"/>
  <c r="G290" i="2" l="1"/>
  <c r="H290" i="2" s="1"/>
  <c r="J290" i="2" s="1"/>
  <c r="D291" i="2" s="1"/>
  <c r="F291" i="2" l="1"/>
  <c r="I291" i="2"/>
  <c r="K291" i="2" s="1"/>
  <c r="G291" i="2" l="1"/>
  <c r="H291" i="2" s="1"/>
  <c r="J291" i="2" s="1"/>
  <c r="D292" i="2" s="1"/>
  <c r="I292" i="2" l="1"/>
  <c r="K292" i="2" s="1"/>
  <c r="F292" i="2"/>
  <c r="G292" i="2" l="1"/>
  <c r="H292" i="2" s="1"/>
  <c r="J292" i="2" s="1"/>
  <c r="D293" i="2" s="1"/>
  <c r="F293" i="2" l="1"/>
  <c r="I293" i="2"/>
  <c r="K293" i="2" s="1"/>
  <c r="G293" i="2" l="1"/>
  <c r="H293" i="2" s="1"/>
  <c r="J293" i="2" s="1"/>
  <c r="D294" i="2" s="1"/>
  <c r="I294" i="2" l="1"/>
  <c r="K294" i="2" s="1"/>
  <c r="F294" i="2"/>
  <c r="G294" i="2" l="1"/>
  <c r="H294" i="2" s="1"/>
  <c r="J294" i="2" s="1"/>
  <c r="D295" i="2" s="1"/>
  <c r="I295" i="2" l="1"/>
  <c r="K295" i="2" s="1"/>
  <c r="F295" i="2"/>
  <c r="G295" i="2" l="1"/>
  <c r="H295" i="2" s="1"/>
  <c r="J295" i="2" s="1"/>
  <c r="D296" i="2" s="1"/>
  <c r="I296" i="2" l="1"/>
  <c r="K296" i="2" s="1"/>
  <c r="F296" i="2"/>
  <c r="G296" i="2" l="1"/>
  <c r="H296" i="2" s="1"/>
  <c r="J296" i="2" s="1"/>
  <c r="D297" i="2" s="1"/>
  <c r="I297" i="2" l="1"/>
  <c r="K297" i="2" s="1"/>
  <c r="F297" i="2"/>
  <c r="G297" i="2" l="1"/>
  <c r="H297" i="2" s="1"/>
  <c r="J297" i="2" s="1"/>
  <c r="D298" i="2" s="1"/>
  <c r="I298" i="2" l="1"/>
  <c r="K298" i="2" s="1"/>
  <c r="F298" i="2"/>
  <c r="G298" i="2" l="1"/>
  <c r="H298" i="2" s="1"/>
  <c r="J298" i="2" s="1"/>
  <c r="D299" i="2" s="1"/>
  <c r="I299" i="2" l="1"/>
  <c r="K299" i="2" s="1"/>
  <c r="F299" i="2"/>
  <c r="G299" i="2" l="1"/>
  <c r="H299" i="2" s="1"/>
  <c r="J299" i="2" s="1"/>
  <c r="D300" i="2" s="1"/>
  <c r="I300" i="2" l="1"/>
  <c r="K300" i="2" s="1"/>
  <c r="F300" i="2"/>
  <c r="G300" i="2" l="1"/>
  <c r="H300" i="2" s="1"/>
  <c r="J300" i="2" s="1"/>
  <c r="D301" i="2" s="1"/>
  <c r="F301" i="2" l="1"/>
  <c r="I301" i="2"/>
  <c r="K301" i="2" s="1"/>
  <c r="G301" i="2" l="1"/>
  <c r="H301" i="2" s="1"/>
  <c r="J301" i="2" s="1"/>
  <c r="D302" i="2" s="1"/>
  <c r="F302" i="2" l="1"/>
  <c r="I302" i="2"/>
  <c r="K302" i="2" s="1"/>
  <c r="G302" i="2" l="1"/>
  <c r="H302" i="2" s="1"/>
  <c r="J302" i="2" s="1"/>
  <c r="D303" i="2" s="1"/>
  <c r="I303" i="2" l="1"/>
  <c r="K303" i="2" s="1"/>
  <c r="F303" i="2"/>
  <c r="G303" i="2" l="1"/>
  <c r="H303" i="2" s="1"/>
  <c r="J303" i="2" s="1"/>
  <c r="D304" i="2" s="1"/>
  <c r="I304" i="2" l="1"/>
  <c r="K304" i="2" s="1"/>
  <c r="F304" i="2"/>
  <c r="G304" i="2" l="1"/>
  <c r="H304" i="2" s="1"/>
  <c r="J304" i="2" s="1"/>
  <c r="D305" i="2" s="1"/>
  <c r="I305" i="2" l="1"/>
  <c r="K305" i="2" s="1"/>
  <c r="F305" i="2"/>
  <c r="G305" i="2" l="1"/>
  <c r="H305" i="2" s="1"/>
  <c r="J305" i="2" s="1"/>
  <c r="D306" i="2" s="1"/>
  <c r="I306" i="2" l="1"/>
  <c r="K306" i="2" s="1"/>
  <c r="F306" i="2"/>
  <c r="G306" i="2" l="1"/>
  <c r="H306" i="2" s="1"/>
  <c r="J306" i="2" s="1"/>
  <c r="D307" i="2" s="1"/>
  <c r="I307" i="2" l="1"/>
  <c r="K307" i="2" s="1"/>
  <c r="F307" i="2"/>
  <c r="G307" i="2" l="1"/>
  <c r="H307" i="2" s="1"/>
  <c r="J307" i="2" s="1"/>
  <c r="D308" i="2" s="1"/>
  <c r="I308" i="2" l="1"/>
  <c r="K308" i="2" s="1"/>
  <c r="F308" i="2"/>
  <c r="G308" i="2" l="1"/>
  <c r="H308" i="2" s="1"/>
  <c r="J308" i="2" s="1"/>
  <c r="D309" i="2" s="1"/>
  <c r="F309" i="2" l="1"/>
  <c r="I309" i="2"/>
  <c r="K309" i="2" s="1"/>
  <c r="G309" i="2" l="1"/>
  <c r="H309" i="2" s="1"/>
  <c r="J309" i="2" s="1"/>
  <c r="D310" i="2" s="1"/>
  <c r="I310" i="2" l="1"/>
  <c r="K310" i="2" s="1"/>
  <c r="F310" i="2"/>
  <c r="G310" i="2" l="1"/>
  <c r="H310" i="2" s="1"/>
  <c r="J310" i="2" s="1"/>
  <c r="D311" i="2" s="1"/>
  <c r="I311" i="2" l="1"/>
  <c r="K311" i="2" s="1"/>
  <c r="F311" i="2"/>
  <c r="G311" i="2" l="1"/>
  <c r="H311" i="2" s="1"/>
  <c r="J311" i="2" s="1"/>
  <c r="D312" i="2" s="1"/>
  <c r="I312" i="2" l="1"/>
  <c r="K312" i="2" s="1"/>
  <c r="F312" i="2"/>
  <c r="G312" i="2" l="1"/>
  <c r="H312" i="2" s="1"/>
  <c r="J312" i="2" s="1"/>
  <c r="D313" i="2" s="1"/>
  <c r="I313" i="2" l="1"/>
  <c r="K313" i="2" s="1"/>
  <c r="F313" i="2"/>
  <c r="G313" i="2" l="1"/>
  <c r="H313" i="2" s="1"/>
  <c r="J313" i="2" s="1"/>
  <c r="D314" i="2" s="1"/>
  <c r="I314" i="2" l="1"/>
  <c r="K314" i="2" s="1"/>
  <c r="F314" i="2"/>
  <c r="G314" i="2" l="1"/>
  <c r="H314" i="2" s="1"/>
  <c r="J314" i="2" s="1"/>
  <c r="D315" i="2" s="1"/>
  <c r="I315" i="2" l="1"/>
  <c r="K315" i="2" s="1"/>
  <c r="F315" i="2"/>
  <c r="G315" i="2" l="1"/>
  <c r="H315" i="2" s="1"/>
  <c r="J315" i="2" s="1"/>
  <c r="D316" i="2" s="1"/>
  <c r="I316" i="2" l="1"/>
  <c r="K316" i="2" s="1"/>
  <c r="F316" i="2"/>
  <c r="G316" i="2" l="1"/>
  <c r="H316" i="2" s="1"/>
  <c r="J316" i="2" s="1"/>
  <c r="D317" i="2" s="1"/>
  <c r="I317" i="2" l="1"/>
  <c r="K317" i="2" s="1"/>
  <c r="F317" i="2"/>
  <c r="G317" i="2" l="1"/>
  <c r="H317" i="2" s="1"/>
  <c r="J317" i="2" s="1"/>
  <c r="D318" i="2" s="1"/>
  <c r="I318" i="2" l="1"/>
  <c r="K318" i="2" s="1"/>
  <c r="F318" i="2"/>
  <c r="G318" i="2" l="1"/>
  <c r="H318" i="2" s="1"/>
  <c r="J318" i="2" s="1"/>
  <c r="D319" i="2" s="1"/>
  <c r="I319" i="2" l="1"/>
  <c r="K319" i="2" s="1"/>
  <c r="F319" i="2"/>
  <c r="G319" i="2" l="1"/>
  <c r="H319" i="2" s="1"/>
  <c r="J319" i="2" s="1"/>
  <c r="D320" i="2" s="1"/>
  <c r="I320" i="2" l="1"/>
  <c r="K320" i="2" s="1"/>
  <c r="F320" i="2"/>
  <c r="G320" i="2" l="1"/>
  <c r="H320" i="2" s="1"/>
  <c r="J320" i="2" s="1"/>
  <c r="D321" i="2" s="1"/>
  <c r="I321" i="2" l="1"/>
  <c r="K321" i="2" s="1"/>
  <c r="F321" i="2"/>
  <c r="G321" i="2" l="1"/>
  <c r="H321" i="2" s="1"/>
  <c r="J321" i="2" s="1"/>
  <c r="D322" i="2" s="1"/>
  <c r="I322" i="2" l="1"/>
  <c r="K322" i="2" s="1"/>
  <c r="F322" i="2"/>
  <c r="G322" i="2" l="1"/>
  <c r="H322" i="2" s="1"/>
  <c r="J322" i="2" s="1"/>
  <c r="D323" i="2" s="1"/>
  <c r="I323" i="2" l="1"/>
  <c r="K323" i="2" s="1"/>
  <c r="F323" i="2"/>
  <c r="G323" i="2" l="1"/>
  <c r="H323" i="2" s="1"/>
  <c r="J323" i="2" s="1"/>
  <c r="D324" i="2" s="1"/>
  <c r="I324" i="2" l="1"/>
  <c r="K324" i="2" s="1"/>
  <c r="F324" i="2"/>
  <c r="G324" i="2" l="1"/>
  <c r="H324" i="2" s="1"/>
  <c r="J324" i="2" s="1"/>
  <c r="D325" i="2" s="1"/>
  <c r="F325" i="2" l="1"/>
  <c r="I325" i="2"/>
  <c r="K325" i="2" s="1"/>
  <c r="G325" i="2" l="1"/>
  <c r="H325" i="2" s="1"/>
  <c r="J325" i="2" s="1"/>
  <c r="D326" i="2" s="1"/>
  <c r="F326" i="2" l="1"/>
  <c r="I326" i="2"/>
  <c r="K326" i="2" s="1"/>
  <c r="G326" i="2" l="1"/>
  <c r="H326" i="2" s="1"/>
  <c r="J326" i="2" s="1"/>
  <c r="D327" i="2" s="1"/>
  <c r="I327" i="2" l="1"/>
  <c r="K327" i="2" s="1"/>
  <c r="F327" i="2"/>
  <c r="G327" i="2" l="1"/>
  <c r="H327" i="2" s="1"/>
  <c r="J327" i="2" s="1"/>
  <c r="D328" i="2" s="1"/>
  <c r="I328" i="2" l="1"/>
  <c r="K328" i="2" s="1"/>
  <c r="F328" i="2"/>
  <c r="G328" i="2" l="1"/>
  <c r="H328" i="2" s="1"/>
  <c r="J328" i="2" s="1"/>
  <c r="D329" i="2" s="1"/>
  <c r="I329" i="2" l="1"/>
  <c r="K329" i="2" s="1"/>
  <c r="F329" i="2"/>
  <c r="G329" i="2" l="1"/>
  <c r="H329" i="2" s="1"/>
  <c r="J329" i="2" s="1"/>
  <c r="D330" i="2" s="1"/>
  <c r="I330" i="2" l="1"/>
  <c r="K330" i="2" s="1"/>
  <c r="F330" i="2"/>
  <c r="G330" i="2" l="1"/>
  <c r="H330" i="2" s="1"/>
  <c r="J330" i="2" s="1"/>
  <c r="D331" i="2" s="1"/>
  <c r="I331" i="2" l="1"/>
  <c r="K331" i="2" s="1"/>
  <c r="F331" i="2"/>
  <c r="G331" i="2" l="1"/>
  <c r="H331" i="2" s="1"/>
  <c r="J331" i="2" s="1"/>
  <c r="D332" i="2" s="1"/>
  <c r="I332" i="2" l="1"/>
  <c r="K332" i="2" s="1"/>
  <c r="F332" i="2"/>
  <c r="G332" i="2" l="1"/>
  <c r="H332" i="2" s="1"/>
  <c r="J332" i="2" s="1"/>
  <c r="D333" i="2" s="1"/>
  <c r="I333" i="2" l="1"/>
  <c r="K333" i="2" s="1"/>
  <c r="F333" i="2"/>
  <c r="G333" i="2" l="1"/>
  <c r="H333" i="2" s="1"/>
  <c r="J333" i="2" s="1"/>
  <c r="D334" i="2" s="1"/>
  <c r="I334" i="2" l="1"/>
  <c r="K334" i="2" s="1"/>
  <c r="F334" i="2"/>
  <c r="G334" i="2" l="1"/>
  <c r="H334" i="2" s="1"/>
  <c r="J334" i="2" s="1"/>
  <c r="D335" i="2" s="1"/>
  <c r="I335" i="2" l="1"/>
  <c r="K335" i="2" s="1"/>
  <c r="F335" i="2"/>
  <c r="G335" i="2" l="1"/>
  <c r="H335" i="2" s="1"/>
  <c r="J335" i="2" s="1"/>
  <c r="D336" i="2" s="1"/>
  <c r="F336" i="2" l="1"/>
  <c r="I336" i="2"/>
  <c r="K336" i="2" s="1"/>
  <c r="G336" i="2" l="1"/>
  <c r="H336" i="2" s="1"/>
  <c r="J336" i="2" s="1"/>
  <c r="D337" i="2" s="1"/>
  <c r="I337" i="2" l="1"/>
  <c r="K337" i="2" s="1"/>
  <c r="F337" i="2"/>
  <c r="G337" i="2" l="1"/>
  <c r="H337" i="2" s="1"/>
  <c r="J337" i="2" s="1"/>
  <c r="D338" i="2" s="1"/>
  <c r="I338" i="2" l="1"/>
  <c r="K338" i="2" s="1"/>
  <c r="F338" i="2"/>
  <c r="G338" i="2" l="1"/>
  <c r="H338" i="2" s="1"/>
  <c r="J338" i="2" s="1"/>
  <c r="D339" i="2" s="1"/>
  <c r="I339" i="2" l="1"/>
  <c r="K339" i="2" s="1"/>
  <c r="F339" i="2"/>
  <c r="G339" i="2" l="1"/>
  <c r="H339" i="2" s="1"/>
  <c r="J339" i="2" s="1"/>
  <c r="D340" i="2" s="1"/>
  <c r="I340" i="2" l="1"/>
  <c r="K340" i="2" s="1"/>
  <c r="F340" i="2"/>
  <c r="G340" i="2" l="1"/>
  <c r="H340" i="2" s="1"/>
  <c r="J340" i="2" s="1"/>
  <c r="D341" i="2" s="1"/>
  <c r="F341" i="2" l="1"/>
  <c r="I341" i="2"/>
  <c r="K341" i="2" s="1"/>
  <c r="G341" i="2" l="1"/>
  <c r="H341" i="2" s="1"/>
  <c r="J341" i="2" s="1"/>
  <c r="D342" i="2" s="1"/>
  <c r="F342" i="2" l="1"/>
  <c r="I342" i="2"/>
  <c r="K342" i="2" s="1"/>
  <c r="G342" i="2" l="1"/>
  <c r="H342" i="2" s="1"/>
  <c r="J342" i="2" s="1"/>
  <c r="D343" i="2" s="1"/>
  <c r="I343" i="2" l="1"/>
  <c r="K343" i="2" s="1"/>
  <c r="F343" i="2"/>
  <c r="G343" i="2" l="1"/>
  <c r="H343" i="2" s="1"/>
  <c r="J343" i="2" s="1"/>
  <c r="D344" i="2" s="1"/>
  <c r="F344" i="2" l="1"/>
  <c r="I344" i="2"/>
  <c r="K344" i="2" s="1"/>
  <c r="G344" i="2" l="1"/>
  <c r="H344" i="2" s="1"/>
  <c r="J344" i="2" s="1"/>
  <c r="D345" i="2" s="1"/>
  <c r="F345" i="2" l="1"/>
  <c r="I345" i="2"/>
  <c r="K345" i="2" s="1"/>
  <c r="G345" i="2" l="1"/>
  <c r="H345" i="2" s="1"/>
  <c r="J345" i="2" s="1"/>
  <c r="D346" i="2" s="1"/>
  <c r="I346" i="2" l="1"/>
  <c r="K346" i="2" s="1"/>
  <c r="F346" i="2"/>
  <c r="G346" i="2" l="1"/>
  <c r="H346" i="2" s="1"/>
  <c r="J346" i="2" s="1"/>
  <c r="D347" i="2" s="1"/>
  <c r="I347" i="2" l="1"/>
  <c r="K347" i="2" s="1"/>
  <c r="F347" i="2"/>
  <c r="G347" i="2" l="1"/>
  <c r="H347" i="2" s="1"/>
  <c r="J347" i="2" s="1"/>
  <c r="D348" i="2" s="1"/>
  <c r="I348" i="2" l="1"/>
  <c r="K348" i="2" s="1"/>
  <c r="F348" i="2"/>
  <c r="G348" i="2" l="1"/>
  <c r="H348" i="2" s="1"/>
  <c r="J348" i="2" s="1"/>
  <c r="D349" i="2" s="1"/>
  <c r="I349" i="2" l="1"/>
  <c r="K349" i="2" s="1"/>
  <c r="F349" i="2"/>
  <c r="G349" i="2" l="1"/>
  <c r="H349" i="2" s="1"/>
  <c r="J349" i="2" s="1"/>
  <c r="D350" i="2" s="1"/>
  <c r="I350" i="2" l="1"/>
  <c r="K350" i="2" s="1"/>
  <c r="F350" i="2"/>
  <c r="G350" i="2" l="1"/>
  <c r="H350" i="2" s="1"/>
  <c r="J350" i="2" s="1"/>
  <c r="D351" i="2" s="1"/>
  <c r="I351" i="2" l="1"/>
  <c r="K351" i="2" s="1"/>
  <c r="F351" i="2"/>
  <c r="G351" i="2" l="1"/>
  <c r="H351" i="2" s="1"/>
  <c r="J351" i="2" s="1"/>
  <c r="D352" i="2" s="1"/>
  <c r="I352" i="2" l="1"/>
  <c r="K352" i="2" s="1"/>
  <c r="F352" i="2"/>
  <c r="G352" i="2" l="1"/>
  <c r="H352" i="2" s="1"/>
  <c r="J352" i="2" s="1"/>
  <c r="D353" i="2" s="1"/>
  <c r="I353" i="2" l="1"/>
  <c r="K353" i="2" s="1"/>
  <c r="F353" i="2"/>
  <c r="G353" i="2" l="1"/>
  <c r="H353" i="2" s="1"/>
  <c r="J353" i="2" s="1"/>
  <c r="D354" i="2" s="1"/>
  <c r="I354" i="2" l="1"/>
  <c r="K354" i="2" s="1"/>
  <c r="F354" i="2"/>
  <c r="G354" i="2" l="1"/>
  <c r="H354" i="2" s="1"/>
  <c r="J354" i="2" s="1"/>
  <c r="D355" i="2" s="1"/>
  <c r="I355" i="2" l="1"/>
  <c r="K355" i="2" s="1"/>
  <c r="F355" i="2"/>
  <c r="G355" i="2" l="1"/>
  <c r="H355" i="2" s="1"/>
  <c r="J355" i="2" s="1"/>
  <c r="D356" i="2" s="1"/>
  <c r="I356" i="2" l="1"/>
  <c r="K356" i="2" s="1"/>
  <c r="F356" i="2"/>
  <c r="G356" i="2" l="1"/>
  <c r="H356" i="2" s="1"/>
  <c r="J356" i="2" s="1"/>
  <c r="D357" i="2" s="1"/>
  <c r="I357" i="2" l="1"/>
  <c r="K357" i="2" s="1"/>
  <c r="F357" i="2"/>
  <c r="G357" i="2" l="1"/>
  <c r="H357" i="2" s="1"/>
  <c r="J357" i="2" s="1"/>
  <c r="D358" i="2" s="1"/>
  <c r="I358" i="2" l="1"/>
  <c r="K358" i="2" s="1"/>
  <c r="F358" i="2"/>
  <c r="G358" i="2" l="1"/>
  <c r="H358" i="2" s="1"/>
  <c r="J358" i="2" s="1"/>
  <c r="D359" i="2" s="1"/>
  <c r="I359" i="2" l="1"/>
  <c r="K359" i="2" s="1"/>
  <c r="F359" i="2"/>
  <c r="G359" i="2" l="1"/>
  <c r="H359" i="2" s="1"/>
  <c r="J359" i="2" s="1"/>
  <c r="D360" i="2" s="1"/>
  <c r="I360" i="2" l="1"/>
  <c r="K360" i="2" s="1"/>
  <c r="F360" i="2"/>
  <c r="G360" i="2" l="1"/>
  <c r="H360" i="2" s="1"/>
  <c r="J360" i="2" s="1"/>
  <c r="D361" i="2" s="1"/>
  <c r="I361" i="2" l="1"/>
  <c r="K361" i="2" s="1"/>
  <c r="F361" i="2"/>
  <c r="G361" i="2" l="1"/>
  <c r="H361" i="2" s="1"/>
  <c r="J361" i="2" s="1"/>
  <c r="D362" i="2" s="1"/>
  <c r="I362" i="2" l="1"/>
  <c r="K362" i="2" s="1"/>
  <c r="F362" i="2"/>
  <c r="G362" i="2" l="1"/>
  <c r="H362" i="2" s="1"/>
  <c r="J362" i="2" s="1"/>
  <c r="D363" i="2" s="1"/>
  <c r="F363" i="2" l="1"/>
  <c r="I363" i="2"/>
  <c r="K363" i="2" s="1"/>
  <c r="G363" i="2" l="1"/>
  <c r="H363" i="2" s="1"/>
  <c r="J363" i="2" s="1"/>
  <c r="D364" i="2" s="1"/>
  <c r="I364" i="2" l="1"/>
  <c r="K364" i="2" s="1"/>
  <c r="F364" i="2"/>
  <c r="G364" i="2" l="1"/>
  <c r="H364" i="2" s="1"/>
  <c r="J364" i="2" s="1"/>
  <c r="D365" i="2" s="1"/>
  <c r="I365" i="2" l="1"/>
  <c r="K365" i="2" s="1"/>
  <c r="F365" i="2"/>
  <c r="G365" i="2" l="1"/>
  <c r="H365" i="2" s="1"/>
  <c r="J365" i="2" s="1"/>
  <c r="D366" i="2" s="1"/>
  <c r="F366" i="2" l="1"/>
  <c r="I366" i="2"/>
  <c r="K366" i="2" s="1"/>
  <c r="G366" i="2" l="1"/>
  <c r="H366" i="2" s="1"/>
  <c r="J366" i="2" s="1"/>
  <c r="D367" i="2" s="1"/>
  <c r="I367" i="2" l="1"/>
  <c r="K367" i="2" s="1"/>
  <c r="F367" i="2"/>
  <c r="G367" i="2" l="1"/>
  <c r="H367" i="2" s="1"/>
  <c r="J367" i="2" s="1"/>
  <c r="D368" i="2" s="1"/>
  <c r="I368" i="2" l="1"/>
  <c r="K368" i="2" s="1"/>
  <c r="F368" i="2"/>
  <c r="G368" i="2" l="1"/>
  <c r="H368" i="2" s="1"/>
  <c r="J368" i="2" s="1"/>
  <c r="D369" i="2" s="1"/>
  <c r="I369" i="2" l="1"/>
  <c r="K369" i="2" s="1"/>
  <c r="F369" i="2"/>
  <c r="G369" i="2" l="1"/>
  <c r="H369" i="2" s="1"/>
  <c r="J369" i="2" s="1"/>
  <c r="D370" i="2" s="1"/>
  <c r="I370" i="2" l="1"/>
  <c r="K370" i="2" s="1"/>
  <c r="F370" i="2"/>
  <c r="G370" i="2" l="1"/>
  <c r="H370" i="2" s="1"/>
  <c r="J370" i="2" s="1"/>
  <c r="D371" i="2" s="1"/>
  <c r="I371" i="2" l="1"/>
  <c r="K371" i="2" s="1"/>
  <c r="F371" i="2"/>
  <c r="G371" i="2" l="1"/>
  <c r="H371" i="2" s="1"/>
  <c r="J371" i="2" s="1"/>
  <c r="D372" i="2" s="1"/>
  <c r="I372" i="2" l="1"/>
  <c r="K372" i="2" s="1"/>
  <c r="F372" i="2"/>
  <c r="G372" i="2" l="1"/>
  <c r="H372" i="2" s="1"/>
  <c r="J372" i="2" s="1"/>
  <c r="D373" i="2" s="1"/>
  <c r="F373" i="2" l="1"/>
  <c r="I373" i="2"/>
  <c r="K373" i="2" s="1"/>
  <c r="G373" i="2" l="1"/>
  <c r="H373" i="2" s="1"/>
  <c r="J373" i="2" s="1"/>
  <c r="D374" i="2" s="1"/>
  <c r="I374" i="2" l="1"/>
  <c r="K374" i="2" s="1"/>
  <c r="F374" i="2"/>
  <c r="G374" i="2" l="1"/>
  <c r="H374" i="2" s="1"/>
  <c r="J374" i="2" s="1"/>
  <c r="D375" i="2" s="1"/>
  <c r="I375" i="2" l="1"/>
  <c r="K375" i="2" s="1"/>
  <c r="F375" i="2"/>
  <c r="G375" i="2" l="1"/>
  <c r="H375" i="2" s="1"/>
  <c r="J375" i="2" s="1"/>
  <c r="D376" i="2" s="1"/>
  <c r="F376" i="2" l="1"/>
  <c r="I376" i="2"/>
  <c r="K376" i="2" s="1"/>
  <c r="G376" i="2" l="1"/>
  <c r="H376" i="2" s="1"/>
  <c r="J376" i="2" s="1"/>
  <c r="D377" i="2" s="1"/>
  <c r="I377" i="2" l="1"/>
  <c r="K377" i="2" s="1"/>
  <c r="F377" i="2"/>
  <c r="G377" i="2" l="1"/>
  <c r="H377" i="2" s="1"/>
  <c r="J377" i="2" s="1"/>
  <c r="D378" i="2" s="1"/>
  <c r="I378" i="2" l="1"/>
  <c r="K378" i="2" s="1"/>
  <c r="F378" i="2"/>
  <c r="G378" i="2" l="1"/>
  <c r="H378" i="2" s="1"/>
  <c r="J378" i="2" s="1"/>
  <c r="D379" i="2" s="1"/>
  <c r="I379" i="2" l="1"/>
  <c r="K379" i="2" s="1"/>
  <c r="F379" i="2"/>
  <c r="G379" i="2" l="1"/>
  <c r="H379" i="2" s="1"/>
  <c r="J379" i="2" s="1"/>
  <c r="D380" i="2" s="1"/>
  <c r="I380" i="2" l="1"/>
  <c r="K380" i="2" s="1"/>
  <c r="F380" i="2"/>
  <c r="G380" i="2" l="1"/>
  <c r="H380" i="2" s="1"/>
  <c r="J380" i="2" s="1"/>
  <c r="D381" i="2" s="1"/>
  <c r="I381" i="2" l="1"/>
  <c r="K381" i="2" s="1"/>
  <c r="F381" i="2"/>
  <c r="G381" i="2" l="1"/>
  <c r="H381" i="2" s="1"/>
  <c r="J381" i="2" s="1"/>
  <c r="D382" i="2" s="1"/>
  <c r="I382" i="2" l="1"/>
  <c r="K382" i="2" s="1"/>
  <c r="F382" i="2"/>
  <c r="G382" i="2" l="1"/>
  <c r="H382" i="2" s="1"/>
  <c r="J382" i="2" s="1"/>
  <c r="D383" i="2" s="1"/>
  <c r="I383" i="2" l="1"/>
  <c r="K383" i="2" s="1"/>
  <c r="F383" i="2"/>
  <c r="G383" i="2" l="1"/>
  <c r="H383" i="2" s="1"/>
  <c r="J383" i="2" s="1"/>
  <c r="D384" i="2" s="1"/>
  <c r="F384" i="2" l="1"/>
  <c r="I384" i="2"/>
  <c r="K384" i="2" s="1"/>
  <c r="G384" i="2" l="1"/>
  <c r="H384" i="2" s="1"/>
  <c r="J384" i="2" s="1"/>
  <c r="D385" i="2" s="1"/>
  <c r="I385" i="2" l="1"/>
  <c r="K385" i="2" s="1"/>
  <c r="F385" i="2"/>
  <c r="G385" i="2" l="1"/>
  <c r="H385" i="2" s="1"/>
  <c r="J385" i="2" s="1"/>
  <c r="D386" i="2" s="1"/>
  <c r="I386" i="2" l="1"/>
  <c r="F386" i="2"/>
  <c r="G386" i="2" l="1"/>
  <c r="H386" i="2" s="1"/>
  <c r="J386" i="2" s="1"/>
  <c r="G8" i="2"/>
  <c r="K386" i="2"/>
  <c r="G9" i="2"/>
</calcChain>
</file>

<file path=xl/sharedStrings.xml><?xml version="1.0" encoding="utf-8"?>
<sst xmlns="http://schemas.openxmlformats.org/spreadsheetml/2006/main" count="91" uniqueCount="77">
  <si>
    <t>LOAN AMORTIZATION TABLE</t>
  </si>
  <si>
    <t>ENTER VALUES</t>
  </si>
  <si>
    <t>LOAN SUMMARY</t>
  </si>
  <si>
    <t>TAXES</t>
  </si>
  <si>
    <t>Sales Price</t>
  </si>
  <si>
    <t>Loan amount</t>
  </si>
  <si>
    <t>Property Taxes Annually</t>
  </si>
  <si>
    <t>Down Payment Percent</t>
  </si>
  <si>
    <t>Scheduled payment</t>
  </si>
  <si>
    <t>Property Taxes Monthly</t>
  </si>
  <si>
    <t>Down Payment Amount</t>
  </si>
  <si>
    <t>Actual Total payment</t>
  </si>
  <si>
    <t>Property Taxes Per Diem</t>
  </si>
  <si>
    <t>Loan Amount</t>
  </si>
  <si>
    <t>Scheduled No.of payments</t>
  </si>
  <si>
    <t>Annual interest rate</t>
  </si>
  <si>
    <t>Actual No. of payments</t>
  </si>
  <si>
    <t>Tax Number</t>
  </si>
  <si>
    <t>Loan period in years</t>
  </si>
  <si>
    <t>Total early payments</t>
  </si>
  <si>
    <t>County</t>
  </si>
  <si>
    <t>No. of payments/year</t>
  </si>
  <si>
    <t>Total interest</t>
  </si>
  <si>
    <t>Jurisdiction 1</t>
  </si>
  <si>
    <t>Start date of loan</t>
  </si>
  <si>
    <t>Total cost of loan</t>
  </si>
  <si>
    <t>Jurisdiction 2</t>
  </si>
  <si>
    <t>Optional extra payments</t>
  </si>
  <si>
    <t>Monthly PITI</t>
  </si>
  <si>
    <t>Jurisdiction 3</t>
  </si>
  <si>
    <t>Jurisdiction 4</t>
  </si>
  <si>
    <t>MAKING THE LOAN HAPPEN</t>
  </si>
  <si>
    <t>MAKING THE LOAN HAPPEN CONTINUED</t>
  </si>
  <si>
    <t>Points</t>
  </si>
  <si>
    <t>Beginning of Year</t>
  </si>
  <si>
    <t>Closing Date</t>
  </si>
  <si>
    <t>Days for Proration</t>
  </si>
  <si>
    <t>Insurance</t>
  </si>
  <si>
    <t>Prorated Taxes</t>
  </si>
  <si>
    <t>Earnest Money</t>
  </si>
  <si>
    <t>Prepaid Insurance</t>
  </si>
  <si>
    <t>INSURANCE</t>
  </si>
  <si>
    <t>Prepaid Taxes</t>
  </si>
  <si>
    <t>Annually</t>
  </si>
  <si>
    <t>Monthly</t>
  </si>
  <si>
    <t>LOAN COSTS</t>
  </si>
  <si>
    <t>CASH TO CLOSE</t>
  </si>
  <si>
    <t>PMT NO</t>
  </si>
  <si>
    <t>PAYMENT DATE</t>
  </si>
  <si>
    <t>BEGINNING BALANCE</t>
  </si>
  <si>
    <t>SCHEDULED PAYMENT</t>
  </si>
  <si>
    <t>EXTRA PAYMENT</t>
  </si>
  <si>
    <t>TOTAL PAYMENT</t>
  </si>
  <si>
    <t>PRINCIPAL</t>
  </si>
  <si>
    <t>INTEREST</t>
  </si>
  <si>
    <t>ENDING BALANCE</t>
  </si>
  <si>
    <t>CUMULATIVE INTEREST</t>
  </si>
  <si>
    <t>Date</t>
  </si>
  <si>
    <t>Principal</t>
  </si>
  <si>
    <t>Interest</t>
  </si>
  <si>
    <t>Balance</t>
  </si>
  <si>
    <t>Attorney's Fee</t>
  </si>
  <si>
    <t xml:space="preserve"> </t>
  </si>
  <si>
    <t>Loan Origination Total Fee</t>
  </si>
  <si>
    <t>Loan Setup Fee</t>
  </si>
  <si>
    <t>Total Cost</t>
  </si>
  <si>
    <t>Paid before closing</t>
  </si>
  <si>
    <t>Average value</t>
  </si>
  <si>
    <t>Loan Amt</t>
  </si>
  <si>
    <t>LTV</t>
  </si>
  <si>
    <t>MACK Calculation for loan only</t>
  </si>
  <si>
    <t>1400 Stafford Dr, Fort Worth, TX 76134</t>
  </si>
  <si>
    <t>Monthly payment</t>
  </si>
  <si>
    <t>360 payments</t>
  </si>
  <si>
    <t>Loan payoff date</t>
  </si>
  <si>
    <t xml:space="preserve">Address: </t>
  </si>
  <si>
    <t>Paid by KEMP Financial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</si>
</sst>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3">
    <numFmt numFmtId="8" formatCode="&quot;$&quot;#,##0.00_);[Red]\(&quot;$&quot;#,##0.00\)"/>
    <numFmt numFmtId="164" formatCode="&quot;$&quot;#,##0.00"/>
    <numFmt numFmtId="165" formatCode="0.000%"/>
  </numFmts>
  <fonts count="18" x14ac:knownFonts="1">
    <font>
      <sz val="11"/>
      <name val="Arial"/>
      <family val="2"/>
      <scheme val="minor"/>
    </font>
    <font>
      <b/>
      <sz val="16"/>
      <color theme="1" tint="0.24994659260841701"/>
      <name val="Microsoft Sans Serif"/>
      <family val="2"/>
      <scheme val="major"/>
    </font>
    <font>
      <b/>
      <sz val="11"/>
      <color theme="3"/>
      <name val="Arial"/>
      <family val="2"/>
      <scheme val="minor"/>
    </font>
    <font>
      <sz val="11"/>
      <color theme="1" tint="0.24994659260841701"/>
      <name val="Arial"/>
      <family val="2"/>
      <scheme val="minor"/>
    </font>
    <font>
      <b/>
      <sz val="11"/>
      <color theme="1" tint="0.24994659260841701"/>
      <name val="Microsoft Sans Serif"/>
      <family val="2"/>
      <scheme val="major"/>
    </font>
    <font>
      <i/>
      <sz val="11"/>
      <color theme="1" tint="0.34998626667073579"/>
      <name val="Arial"/>
      <family val="2"/>
      <scheme val="minor"/>
    </font>
    <font>
      <sz val="11"/>
      <name val="Arial"/>
      <family val="2"/>
      <scheme val="minor"/>
    </font>
    <font>
      <b/>
      <sz val="11"/>
      <color theme="0"/>
      <name val="Arial"/>
      <family val="2"/>
      <scheme val="minor"/>
    </font>
    <font>
      <b/>
      <sz val="10"/>
      <color theme="0"/>
      <name val="Arial"/>
      <family val="2"/>
      <scheme val="minor"/>
    </font>
    <font>
      <sz val="10"/>
      <name val="Arial"/>
      <family val="2"/>
      <scheme val="minor"/>
    </font>
    <font>
      <b/>
      <sz val="14"/>
      <color theme="1" tint="0.24994659260841701"/>
      <name val="Microsoft Sans Serif"/>
      <family val="2"/>
      <scheme val="major"/>
    </font>
    <font>
      <sz val="9"/>
      <name val="Arial"/>
      <family val="2"/>
      <scheme val="minor"/>
    </font>
    <font>
      <b/>
      <sz val="11"/>
      <color rgb="FFFF0000"/>
      <name val="Arial"/>
      <family val="2"/>
      <scheme val="minor"/>
    </font>
    <font>
      <sz val="11"/>
      <color rgb="FF9C5700"/>
      <name val="Arial"/>
      <family val="2"/>
      <scheme val="minor"/>
    </font>
    <font>
      <b/>
      <sz val="11"/>
      <name val="Arial"/>
      <family val="2"/>
      <scheme val="minor"/>
    </font>
    <font>
      <sz val="8"/>
      <color theme="1"/>
      <name val="Arial"/>
      <family val="2"/>
    </font>
    <font>
      <sz val="8"/>
      <color rgb="FF333333"/>
      <name val="Arial"/>
      <family val="2"/>
    </font>
    <font>
      <b/>
      <sz val="8"/>
      <color rgb="FF333333"/>
      <name val="Arial"/>
      <family val="2"/>
    </font>
  </fonts>
  <fills count="14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D2D2D2"/>
        <bgColor indexed="64"/>
      </patternFill>
    </fill>
    <fill>
      <patternFill patternType="solid">
        <fgColor rgb="FF9CEC5E"/>
        <bgColor indexed="64"/>
      </patternFill>
    </fill>
    <fill>
      <patternFill patternType="solid">
        <fgColor rgb="FFFFDB4B"/>
        <bgColor indexed="64"/>
      </patternFill>
    </fill>
    <fill>
      <patternFill patternType="solid">
        <fgColor rgb="FFFF717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EB9C"/>
      </patternFill>
    </fill>
    <fill>
      <patternFill patternType="solid">
        <fgColor theme="7" tint="0.59999389629810485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ck">
        <color theme="4" tint="-0.499984740745262"/>
      </bottom>
      <diagonal/>
    </border>
    <border>
      <left/>
      <right/>
      <top/>
      <bottom style="medium">
        <color theme="4" tint="-0.499984740745262"/>
      </bottom>
      <diagonal/>
    </border>
    <border>
      <left/>
      <right/>
      <top style="thin">
        <color theme="4" tint="-0.499984740745262"/>
      </top>
      <bottom style="thin">
        <color theme="4" tint="-0.499984740745262"/>
      </bottom>
      <diagonal/>
    </border>
    <border>
      <left/>
      <right/>
      <top style="thin">
        <color theme="1" tint="0.499984740745262"/>
      </top>
      <bottom style="thin">
        <color theme="1" tint="0.499984740745262"/>
      </bottom>
      <diagonal/>
    </border>
    <border>
      <left/>
      <right/>
      <top style="medium">
        <color theme="4" tint="-0.499984740745262"/>
      </top>
      <bottom style="thin">
        <color theme="1" tint="0.499984740745262"/>
      </bottom>
      <diagonal/>
    </border>
    <border>
      <left/>
      <right/>
      <top style="thin">
        <color theme="1" tint="0.499984740745262"/>
      </top>
      <bottom/>
      <diagonal/>
    </border>
    <border>
      <left/>
      <right/>
      <top/>
      <bottom style="thick">
        <color auto="1"/>
      </bottom>
      <diagonal/>
    </border>
    <border>
      <left/>
      <right/>
      <top style="thick">
        <color auto="1"/>
      </top>
      <bottom/>
      <diagonal/>
    </border>
    <border>
      <left/>
      <right/>
      <top style="thick">
        <color auto="1"/>
      </top>
      <bottom style="medium">
        <color theme="4" tint="-0.499984740745262"/>
      </bottom>
      <diagonal/>
    </border>
    <border>
      <left/>
      <right/>
      <top/>
      <bottom style="thin">
        <color theme="1" tint="0.499984740745262"/>
      </bottom>
      <diagonal/>
    </border>
    <border>
      <left style="medium">
        <color rgb="FFD5D5D5"/>
      </left>
      <right style="medium">
        <color rgb="FFD5D5D5"/>
      </right>
      <top style="medium">
        <color rgb="FFD5D5D5"/>
      </top>
      <bottom style="medium">
        <color rgb="FFD5D5D5"/>
      </bottom>
      <diagonal/>
    </border>
    <border>
      <left style="thick">
        <color auto="1"/>
      </left>
      <right/>
      <top style="thick">
        <color auto="1"/>
      </top>
      <bottom/>
      <diagonal/>
    </border>
    <border>
      <left/>
      <right style="thick">
        <color auto="1"/>
      </right>
      <top style="thick">
        <color auto="1"/>
      </top>
      <bottom/>
      <diagonal/>
    </border>
    <border>
      <left style="thick">
        <color auto="1"/>
      </left>
      <right/>
      <top/>
      <bottom/>
      <diagonal/>
    </border>
    <border>
      <left/>
      <right style="thick">
        <color auto="1"/>
      </right>
      <top/>
      <bottom/>
      <diagonal/>
    </border>
    <border>
      <left style="thick">
        <color auto="1"/>
      </left>
      <right/>
      <top/>
      <bottom style="thick">
        <color auto="1"/>
      </bottom>
      <diagonal/>
    </border>
    <border>
      <left/>
      <right style="thick">
        <color auto="1"/>
      </right>
      <top/>
      <bottom style="thick">
        <color auto="1"/>
      </bottom>
      <diagonal/>
    </border>
    <border>
      <left style="medium">
        <color rgb="FFD5D5D5"/>
      </left>
      <right/>
      <top/>
      <bottom/>
      <diagonal/>
    </border>
    <border>
      <left/>
      <right style="medium">
        <color rgb="FFD5D5D5"/>
      </right>
      <top/>
      <bottom/>
      <diagonal/>
    </border>
  </borders>
  <cellStyleXfs count="15">
    <xf numFmtId="0" fontId="0" fillId="0" borderId="0"/>
    <xf numFmtId="0" fontId="1" fillId="0" borderId="1" applyNumberFormat="0" applyFill="0" applyProtection="0">
      <alignment vertical="center"/>
    </xf>
    <xf numFmtId="0" fontId="4" fillId="0" borderId="2" applyNumberFormat="0" applyFill="0" applyProtection="0">
      <alignment vertical="center"/>
    </xf>
    <xf numFmtId="0" fontId="2" fillId="0" borderId="3" applyNumberFormat="0" applyFill="0" applyProtection="0">
      <alignment vertical="center"/>
    </xf>
    <xf numFmtId="0" fontId="3" fillId="2" borderId="4" applyNumberFormat="0" applyProtection="0">
      <alignment horizontal="right"/>
    </xf>
    <xf numFmtId="0" fontId="5" fillId="0" borderId="4" applyNumberFormat="0" applyProtection="0">
      <alignment vertical="center"/>
    </xf>
    <xf numFmtId="10" fontId="6" fillId="0" borderId="0" applyFont="0" applyFill="0" applyBorder="0" applyAlignment="0" applyProtection="0"/>
    <xf numFmtId="164" fontId="3" fillId="2" borderId="0" applyFont="0" applyFill="0" applyBorder="0" applyAlignment="0" applyProtection="0"/>
    <xf numFmtId="0" fontId="3" fillId="3" borderId="0" applyNumberFormat="0" applyFont="0" applyAlignment="0">
      <alignment horizontal="center" vertical="center" wrapText="1"/>
    </xf>
    <xf numFmtId="0" fontId="7" fillId="4" borderId="0" applyNumberFormat="0" applyBorder="0" applyProtection="0">
      <alignment vertical="center" wrapText="1"/>
    </xf>
    <xf numFmtId="1" fontId="3" fillId="3" borderId="0" applyFont="0" applyFill="0" applyBorder="0" applyAlignment="0"/>
    <xf numFmtId="14" fontId="3" fillId="0" borderId="0" applyFont="0" applyFill="0" applyBorder="0" applyAlignment="0"/>
    <xf numFmtId="164" fontId="3" fillId="2" borderId="0" applyFont="0" applyFill="0" applyBorder="0" applyProtection="0">
      <alignment horizontal="right" indent="2"/>
    </xf>
    <xf numFmtId="0" fontId="7" fillId="4" borderId="0" applyBorder="0" applyProtection="0">
      <alignment horizontal="right" vertical="center" wrapText="1" indent="2"/>
    </xf>
    <xf numFmtId="0" fontId="13" fillId="12" borderId="0" applyNumberFormat="0" applyBorder="0" applyAlignment="0" applyProtection="0"/>
  </cellStyleXfs>
  <cellXfs count="80">
    <xf numFmtId="0" fontId="0" fillId="0" borderId="0" xfId="0"/>
    <xf numFmtId="0" fontId="1" fillId="0" borderId="1" xfId="1">
      <alignment vertical="center"/>
    </xf>
    <xf numFmtId="0" fontId="4" fillId="0" borderId="2" xfId="2">
      <alignment vertical="center"/>
    </xf>
    <xf numFmtId="164" fontId="3" fillId="2" borderId="0" xfId="7"/>
    <xf numFmtId="1" fontId="0" fillId="0" borderId="0" xfId="10" applyFont="1" applyFill="1" applyAlignment="1">
      <alignment horizontal="left"/>
    </xf>
    <xf numFmtId="14" fontId="0" fillId="0" borderId="0" xfId="11" applyFont="1" applyAlignment="1">
      <alignment horizontal="left"/>
    </xf>
    <xf numFmtId="164" fontId="0" fillId="0" borderId="0" xfId="12" applyFont="1" applyFill="1">
      <alignment horizontal="right" indent="2"/>
    </xf>
    <xf numFmtId="0" fontId="5" fillId="0" borderId="4" xfId="5">
      <alignment vertical="center"/>
    </xf>
    <xf numFmtId="10" fontId="0" fillId="0" borderId="0" xfId="0" applyNumberFormat="1"/>
    <xf numFmtId="0" fontId="8" fillId="4" borderId="0" xfId="9" applyFont="1">
      <alignment vertical="center" wrapText="1"/>
    </xf>
    <xf numFmtId="0" fontId="8" fillId="4" borderId="0" xfId="13" applyFont="1">
      <alignment horizontal="right" vertical="center" wrapText="1" indent="2"/>
    </xf>
    <xf numFmtId="0" fontId="9" fillId="0" borderId="0" xfId="0" applyFont="1"/>
    <xf numFmtId="164" fontId="0" fillId="0" borderId="0" xfId="0" applyNumberFormat="1"/>
    <xf numFmtId="1" fontId="3" fillId="5" borderId="4" xfId="10" applyFill="1" applyBorder="1"/>
    <xf numFmtId="164" fontId="3" fillId="5" borderId="4" xfId="7" applyFill="1" applyBorder="1"/>
    <xf numFmtId="164" fontId="3" fillId="0" borderId="0" xfId="8" applyNumberFormat="1" applyFill="1" applyAlignment="1"/>
    <xf numFmtId="164" fontId="3" fillId="6" borderId="0" xfId="8" applyNumberFormat="1" applyFill="1" applyAlignment="1"/>
    <xf numFmtId="1" fontId="3" fillId="6" borderId="4" xfId="10" applyFill="1" applyBorder="1"/>
    <xf numFmtId="164" fontId="3" fillId="6" borderId="4" xfId="8" applyNumberFormat="1" applyFill="1" applyBorder="1" applyAlignment="1"/>
    <xf numFmtId="0" fontId="0" fillId="0" borderId="0" xfId="0" applyAlignment="1">
      <alignment vertical="top" wrapText="1"/>
    </xf>
    <xf numFmtId="0" fontId="5" fillId="0" borderId="0" xfId="5" applyBorder="1">
      <alignment vertical="center"/>
    </xf>
    <xf numFmtId="0" fontId="0" fillId="5" borderId="0" xfId="0" applyFill="1"/>
    <xf numFmtId="0" fontId="10" fillId="0" borderId="7" xfId="1" applyFont="1" applyBorder="1">
      <alignment vertical="center"/>
    </xf>
    <xf numFmtId="0" fontId="4" fillId="0" borderId="8" xfId="2" applyBorder="1">
      <alignment vertical="center"/>
    </xf>
    <xf numFmtId="0" fontId="5" fillId="0" borderId="10" xfId="5" applyBorder="1">
      <alignment vertical="center"/>
    </xf>
    <xf numFmtId="0" fontId="5" fillId="0" borderId="6" xfId="5" applyBorder="1">
      <alignment vertical="center"/>
    </xf>
    <xf numFmtId="14" fontId="0" fillId="5" borderId="0" xfId="0" applyNumberFormat="1" applyFill="1"/>
    <xf numFmtId="165" fontId="0" fillId="5" borderId="0" xfId="0" applyNumberFormat="1" applyFill="1"/>
    <xf numFmtId="164" fontId="3" fillId="3" borderId="4" xfId="8" applyNumberFormat="1" applyBorder="1" applyAlignment="1"/>
    <xf numFmtId="164" fontId="0" fillId="6" borderId="4" xfId="0" applyNumberFormat="1" applyFill="1" applyBorder="1"/>
    <xf numFmtId="164" fontId="3" fillId="3" borderId="6" xfId="8" applyNumberFormat="1" applyBorder="1" applyAlignment="1"/>
    <xf numFmtId="14" fontId="0" fillId="5" borderId="4" xfId="0" applyNumberFormat="1" applyFill="1" applyBorder="1"/>
    <xf numFmtId="1" fontId="0" fillId="6" borderId="4" xfId="0" applyNumberFormat="1" applyFill="1" applyBorder="1"/>
    <xf numFmtId="0" fontId="0" fillId="5" borderId="4" xfId="0" applyFill="1" applyBorder="1" applyAlignment="1">
      <alignment horizontal="right"/>
    </xf>
    <xf numFmtId="8" fontId="0" fillId="0" borderId="0" xfId="0" applyNumberFormat="1"/>
    <xf numFmtId="164" fontId="0" fillId="0" borderId="0" xfId="0" applyNumberFormat="1" applyAlignment="1">
      <alignment horizontal="right"/>
    </xf>
    <xf numFmtId="0" fontId="5" fillId="0" borderId="4" xfId="5" applyAlignment="1">
      <alignment horizontal="left" vertical="center"/>
    </xf>
    <xf numFmtId="0" fontId="4" fillId="0" borderId="2" xfId="2" applyAlignment="1">
      <alignment horizontal="left" vertical="center"/>
    </xf>
    <xf numFmtId="0" fontId="4" fillId="0" borderId="9" xfId="2" applyBorder="1" applyAlignment="1">
      <alignment horizontal="left" vertical="center"/>
    </xf>
    <xf numFmtId="0" fontId="11" fillId="0" borderId="0" xfId="0" applyFont="1"/>
    <xf numFmtId="0" fontId="1" fillId="11" borderId="1" xfId="1" applyFill="1">
      <alignment vertical="center"/>
    </xf>
    <xf numFmtId="0" fontId="1" fillId="11" borderId="7" xfId="1" applyFill="1" applyBorder="1">
      <alignment vertical="center"/>
    </xf>
    <xf numFmtId="0" fontId="10" fillId="11" borderId="7" xfId="1" applyFont="1" applyFill="1" applyBorder="1">
      <alignment vertical="center"/>
    </xf>
    <xf numFmtId="164" fontId="3" fillId="11" borderId="4" xfId="8" applyNumberFormat="1" applyFill="1" applyBorder="1" applyAlignment="1"/>
    <xf numFmtId="164" fontId="3" fillId="11" borderId="6" xfId="8" applyNumberFormat="1" applyFill="1" applyBorder="1" applyAlignment="1"/>
    <xf numFmtId="0" fontId="14" fillId="13" borderId="0" xfId="0" applyFont="1" applyFill="1"/>
    <xf numFmtId="0" fontId="14" fillId="13" borderId="12" xfId="14" applyFont="1" applyFill="1" applyBorder="1" applyAlignment="1">
      <alignment horizontal="right"/>
    </xf>
    <xf numFmtId="0" fontId="14" fillId="13" borderId="8" xfId="0" applyFont="1" applyFill="1" applyBorder="1"/>
    <xf numFmtId="164" fontId="14" fillId="13" borderId="13" xfId="0" applyNumberFormat="1" applyFont="1" applyFill="1" applyBorder="1"/>
    <xf numFmtId="0" fontId="14" fillId="13" borderId="14" xfId="14" applyFont="1" applyFill="1" applyBorder="1" applyAlignment="1">
      <alignment horizontal="right"/>
    </xf>
    <xf numFmtId="164" fontId="14" fillId="13" borderId="15" xfId="0" applyNumberFormat="1" applyFont="1" applyFill="1" applyBorder="1"/>
    <xf numFmtId="0" fontId="14" fillId="13" borderId="16" xfId="14" applyFont="1" applyFill="1" applyBorder="1" applyAlignment="1">
      <alignment horizontal="right"/>
    </xf>
    <xf numFmtId="0" fontId="14" fillId="13" borderId="7" xfId="0" applyFont="1" applyFill="1" applyBorder="1"/>
    <xf numFmtId="10" fontId="14" fillId="13" borderId="17" xfId="0" applyNumberFormat="1" applyFont="1" applyFill="1" applyBorder="1"/>
    <xf numFmtId="0" fontId="15" fillId="11" borderId="0" xfId="0" applyFont="1" applyFill="1"/>
    <xf numFmtId="0" fontId="15" fillId="0" borderId="0" xfId="0" applyFont="1"/>
    <xf numFmtId="8" fontId="16" fillId="11" borderId="18" xfId="0" applyNumberFormat="1" applyFont="1" applyFill="1" applyBorder="1" applyAlignment="1">
      <alignment horizontal="center" vertical="center" wrapText="1"/>
    </xf>
    <xf numFmtId="8" fontId="16" fillId="11" borderId="0" xfId="0" applyNumberFormat="1" applyFont="1" applyFill="1" applyAlignment="1">
      <alignment horizontal="center" vertical="center" wrapText="1"/>
    </xf>
    <xf numFmtId="17" fontId="16" fillId="11" borderId="19" xfId="0" applyNumberFormat="1" applyFont="1" applyFill="1" applyBorder="1" applyAlignment="1">
      <alignment horizontal="center" vertical="center" wrapText="1"/>
    </xf>
    <xf numFmtId="0" fontId="16" fillId="11" borderId="18" xfId="0" applyFont="1" applyFill="1" applyBorder="1" applyAlignment="1">
      <alignment horizontal="left" vertical="center"/>
    </xf>
    <xf numFmtId="0" fontId="16" fillId="11" borderId="0" xfId="0" applyFont="1" applyFill="1" applyAlignment="1">
      <alignment horizontal="left" vertical="center"/>
    </xf>
    <xf numFmtId="0" fontId="16" fillId="11" borderId="19" xfId="0" applyFont="1" applyFill="1" applyBorder="1" applyAlignment="1">
      <alignment horizontal="left" vertical="center"/>
    </xf>
    <xf numFmtId="0" fontId="17" fillId="7" borderId="11" xfId="0" applyFont="1" applyFill="1" applyBorder="1" applyAlignment="1">
      <alignment horizontal="center" vertical="center" wrapText="1"/>
    </xf>
    <xf numFmtId="0" fontId="17" fillId="8" borderId="11" xfId="0" applyFont="1" applyFill="1" applyBorder="1" applyAlignment="1">
      <alignment horizontal="center" vertical="center" wrapText="1"/>
    </xf>
    <xf numFmtId="0" fontId="17" fillId="9" borderId="11" xfId="0" applyFont="1" applyFill="1" applyBorder="1" applyAlignment="1">
      <alignment horizontal="center" vertical="center" wrapText="1"/>
    </xf>
    <xf numFmtId="0" fontId="17" fillId="10" borderId="11" xfId="0" applyFont="1" applyFill="1" applyBorder="1" applyAlignment="1">
      <alignment horizontal="center" vertical="center" wrapText="1"/>
    </xf>
    <xf numFmtId="164" fontId="3" fillId="11" borderId="0" xfId="8" applyNumberFormat="1" applyFill="1" applyAlignment="1"/>
    <xf numFmtId="165" fontId="3" fillId="11" borderId="4" xfId="8" applyNumberFormat="1" applyFill="1" applyBorder="1" applyAlignment="1"/>
    <xf numFmtId="165" fontId="3" fillId="11" borderId="4" xfId="6" applyNumberFormat="1" applyFont="1" applyFill="1" applyBorder="1" applyAlignment="1">
      <alignment horizontal="right"/>
    </xf>
    <xf numFmtId="1" fontId="3" fillId="11" borderId="4" xfId="10" applyFill="1" applyBorder="1"/>
    <xf numFmtId="14" fontId="3" fillId="11" borderId="4" xfId="11" applyFill="1" applyBorder="1"/>
    <xf numFmtId="164" fontId="0" fillId="11" borderId="0" xfId="0" applyNumberFormat="1" applyFill="1"/>
    <xf numFmtId="0" fontId="5" fillId="0" borderId="4" xfId="5" applyAlignment="1">
      <alignment horizontal="left" vertical="center"/>
    </xf>
    <xf numFmtId="0" fontId="12" fillId="0" borderId="0" xfId="5" applyFont="1" applyBorder="1" applyAlignment="1">
      <alignment horizontal="left" vertical="center"/>
    </xf>
    <xf numFmtId="0" fontId="4" fillId="0" borderId="2" xfId="2" applyAlignment="1">
      <alignment horizontal="left" vertical="center"/>
    </xf>
    <xf numFmtId="0" fontId="5" fillId="11" borderId="4" xfId="5" applyFill="1" applyAlignment="1">
      <alignment horizontal="left" vertical="center"/>
    </xf>
    <xf numFmtId="0" fontId="5" fillId="0" borderId="0" xfId="5" applyBorder="1" applyAlignment="1">
      <alignment horizontal="center" wrapText="1"/>
    </xf>
    <xf numFmtId="0" fontId="4" fillId="0" borderId="9" xfId="2" applyBorder="1" applyAlignment="1">
      <alignment horizontal="left" vertical="center"/>
    </xf>
    <xf numFmtId="0" fontId="0" fillId="0" borderId="0" xfId="0" applyAlignment="1">
      <alignment horizontal="center" vertical="top" wrapText="1"/>
    </xf>
    <xf numFmtId="0" fontId="5" fillId="0" borderId="5" xfId="5" applyBorder="1" applyAlignment="1">
      <alignment horizontal="left" vertical="center"/>
    </xf>
  </cellXfs>
  <cellStyles count="15">
    <cellStyle name="Amount" xfId="7" xr:uid="{00000000-0005-0000-0000-000000000000}"/>
    <cellStyle name="Date" xfId="11" xr:uid="{00000000-0005-0000-0000-000001000000}"/>
    <cellStyle name="Explanatory Text" xfId="5" builtinId="53" customBuiltin="1"/>
    <cellStyle name="Heading 1" xfId="1" builtinId="16" customBuiltin="1"/>
    <cellStyle name="Heading 2" xfId="2" builtinId="17" customBuiltin="1"/>
    <cellStyle name="Heading 3" xfId="3" builtinId="18" customBuiltin="1"/>
    <cellStyle name="Heading 4" xfId="9" builtinId="19" customBuiltin="1"/>
    <cellStyle name="Heading 4 Right aligned" xfId="13" xr:uid="{00000000-0005-0000-0000-000007000000}"/>
    <cellStyle name="Input" xfId="4" builtinId="20" customBuiltin="1"/>
    <cellStyle name="Loan Summary" xfId="8" xr:uid="{00000000-0005-0000-0000-000009000000}"/>
    <cellStyle name="Neutral" xfId="14" builtinId="28"/>
    <cellStyle name="Normal" xfId="0" builtinId="0" customBuiltin="1"/>
    <cellStyle name="Number" xfId="10" xr:uid="{00000000-0005-0000-0000-00000B000000}"/>
    <cellStyle name="Percent" xfId="6" builtinId="5" customBuiltin="1"/>
    <cellStyle name="Table Amount" xfId="12" xr:uid="{00000000-0005-0000-0000-00000D000000}"/>
  </cellStyles>
  <dxfs count="9">
    <dxf>
      <font>
        <color theme="0"/>
      </font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strike val="0"/>
        <outline val="0"/>
        <shadow val="0"/>
        <u val="none"/>
        <vertAlign val="baseline"/>
        <sz val="10"/>
        <name val="Arial"/>
        <family val="2"/>
        <scheme val="minor"/>
      </font>
    </dxf>
    <dxf>
      <font>
        <color theme="1" tint="0.24994659260841701"/>
      </font>
      <fill>
        <patternFill patternType="solid">
          <fgColor theme="4" tint="0.79998168889431442"/>
          <bgColor theme="4" tint="0.79998168889431442"/>
        </patternFill>
      </fill>
    </dxf>
    <dxf>
      <font>
        <color theme="1" tint="0.24994659260841701"/>
      </font>
      <fill>
        <patternFill patternType="solid">
          <fgColor theme="4" tint="0.79998168889431442"/>
          <bgColor theme="4" tint="0.79998168889431442"/>
        </patternFill>
      </fill>
    </dxf>
    <dxf>
      <font>
        <color theme="1" tint="0.24994659260841701"/>
      </font>
    </dxf>
    <dxf>
      <font>
        <color theme="1" tint="0.24994659260841701"/>
      </font>
    </dxf>
    <dxf>
      <font>
        <color theme="1" tint="0.24994659260841701"/>
      </font>
      <border>
        <top style="double">
          <color theme="4"/>
        </top>
      </border>
    </dxf>
    <dxf>
      <font>
        <b/>
        <i val="0"/>
        <color theme="0"/>
      </font>
      <fill>
        <patternFill patternType="solid">
          <fgColor theme="4"/>
          <bgColor theme="4" tint="-0.499984740745262"/>
        </patternFill>
      </fill>
    </dxf>
    <dxf>
      <font>
        <color theme="1" tint="0.24994659260841701"/>
      </font>
      <border>
        <left style="thin">
          <color theme="4" tint="0.39997558519241921"/>
        </left>
        <right style="thin">
          <color theme="4" tint="0.39997558519241921"/>
        </right>
        <top style="thin">
          <color theme="4" tint="0.39997558519241921"/>
        </top>
        <bottom style="thin">
          <color theme="4" tint="0.39997558519241921"/>
        </bottom>
        <horizontal style="thin">
          <color theme="4" tint="0.39997558519241921"/>
        </horizontal>
      </border>
    </dxf>
  </dxfs>
  <tableStyles count="1" defaultTableStyle="TableStyleMedium2" defaultPivotStyle="PivotStyleLight16">
    <tableStyle name="Loan Amortization Schedule" pivot="0" count="7" xr9:uid="{00000000-0011-0000-FFFF-FFFF00000000}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firstColumnStripe" dxfId="2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66"/>
      <rgbColor rgb="00008000"/>
      <rgbColor rgb="00000080"/>
      <rgbColor rgb="00808000"/>
      <rgbColor rgb="00800080"/>
      <rgbColor rgb="00008080"/>
      <rgbColor rgb="00EAEAEA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FFE1E2"/>
      <rgbColor rgb="00FDF1DF"/>
      <rgbColor rgb="00FFCC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PaymentSchedule" displayName="PaymentSchedule" ref="B26:K386" totalsRowShown="0" headerRowDxfId="1" headerRowCellStyle="Amount">
  <tableColumns count="10">
    <tableColumn id="1" xr3:uid="{00000000-0010-0000-0000-000001000000}" name="PMT NO" dataCellStyle="Number">
      <calculatedColumnFormula>IF(LoanIsGood,IF(ROW()-ROW(PaymentSchedule[[#Headers],[PMT NO]])&gt;ScheduledNumberOfPayments,"",ROW()-ROW(PaymentSchedule[[#Headers],[PMT NO]])),"")</calculatedColumnFormula>
    </tableColumn>
    <tableColumn id="2" xr3:uid="{00000000-0010-0000-0000-000002000000}" name="PAYMENT DATE" dataCellStyle="Date">
      <calculatedColumnFormula>IF(PaymentSchedule[[#This Row],[PMT NO]]&lt;&gt;"",EOMONTH(LoanStartDate,ROW(PaymentSchedule[[#This Row],[PMT NO]])-ROW(PaymentSchedule[[#Headers],[PMT NO]])-2)+DAY(LoanStartDate),"")</calculatedColumnFormula>
    </tableColumn>
    <tableColumn id="3" xr3:uid="{00000000-0010-0000-0000-000003000000}" name="BEGINNING BALANCE" dataCellStyle="Table Amount">
      <calculatedColumnFormula>IF(PaymentSchedule[[#This Row],[PMT NO]]&lt;&gt;"",IF(ROW()-ROW(PaymentSchedule[[#Headers],[BEGINNING BALANCE]])=1,LoanAmount,INDEX(PaymentSchedule[ENDING BALANCE],ROW()-ROW(PaymentSchedule[[#Headers],[BEGINNING BALANCE]])-1)),"")</calculatedColumnFormula>
    </tableColumn>
    <tableColumn id="4" xr3:uid="{00000000-0010-0000-0000-000004000000}" name="SCHEDULED PAYMENT" dataCellStyle="Table Amount">
      <calculatedColumnFormula>IF(PaymentSchedule[[#This Row],[PMT NO]]&lt;&gt;"",ScheduledPayment,"")</calculatedColumnFormula>
    </tableColumn>
    <tableColumn id="5" xr3:uid="{00000000-0010-0000-0000-000005000000}" name="EXTRA PAYMENT" dataCellStyle="Table Amount">
      <calculatedColumnFormula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calculatedColumnFormula>
    </tableColumn>
    <tableColumn id="6" xr3:uid="{00000000-0010-0000-0000-000006000000}" name="TOTAL PAYMENT" dataCellStyle="Table Amount">
      <calculatedColumnFormula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calculatedColumnFormula>
    </tableColumn>
    <tableColumn id="7" xr3:uid="{00000000-0010-0000-0000-000007000000}" name="PRINCIPAL" dataCellStyle="Table Amount">
      <calculatedColumnFormula>IF(PaymentSchedule[[#This Row],[PMT NO]]&lt;&gt;"",PaymentSchedule[[#This Row],[TOTAL PAYMENT]]-PaymentSchedule[[#This Row],[INTEREST]],"")</calculatedColumnFormula>
    </tableColumn>
    <tableColumn id="8" xr3:uid="{00000000-0010-0000-0000-000008000000}" name="INTEREST" dataCellStyle="Table Amount">
      <calculatedColumnFormula>IF(PaymentSchedule[[#This Row],[PMT NO]]&lt;&gt;"",PaymentSchedule[[#This Row],[BEGINNING BALANCE]]*(InterestRate/PaymentsPerYear),"")</calculatedColumnFormula>
    </tableColumn>
    <tableColumn id="9" xr3:uid="{00000000-0010-0000-0000-000009000000}" name="ENDING BALANCE" dataCellStyle="Table Amount">
      <calculatedColumnFormula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calculatedColumnFormula>
    </tableColumn>
    <tableColumn id="10" xr3:uid="{00000000-0010-0000-0000-00000A000000}" name="CUMULATIVE INTEREST" dataCellStyle="Table Amount">
      <calculatedColumnFormula>IF(PaymentSchedule[[#This Row],[PMT NO]]&lt;&gt;"",SUM(INDEX(PaymentSchedule[INTEREST],1,1):PaymentSchedule[[#This Row],[INTEREST]]),"")</calculatedColumnFormula>
    </tableColumn>
  </tableColumns>
  <tableStyleInfo name="Loan Amortization Schedule" showFirstColumn="0" showLastColumn="0" showRowStripes="1" showColumnStripes="0"/>
  <extLst>
    <ext xmlns:x14="http://schemas.microsoft.com/office/spreadsheetml/2009/9/main" uri="{504A1905-F514-4f6f-8877-14C23A59335A}">
      <x14:table altTextSummary="Track payment number, payment date, beginning balance, ending balance, scheduled payment, extra payment, principal amount, interest and cumulative interest amounts"/>
    </ext>
  </extLst>
</table>
</file>

<file path=xl/theme/theme1.xml><?xml version="1.0" encoding="utf-8"?>
<a:theme xmlns:a="http://schemas.openxmlformats.org/drawingml/2006/main" name="Office Theme">
  <a:themeElements>
    <a:clrScheme name="Loan Amortization Schedule">
      <a:dk1>
        <a:srgbClr val="000000"/>
      </a:dk1>
      <a:lt1>
        <a:srgbClr val="FFFFFF"/>
      </a:lt1>
      <a:dk2>
        <a:srgbClr val="635C50"/>
      </a:dk2>
      <a:lt2>
        <a:srgbClr val="E8E7E5"/>
      </a:lt2>
      <a:accent1>
        <a:srgbClr val="84C183"/>
      </a:accent1>
      <a:accent2>
        <a:srgbClr val="FCF600"/>
      </a:accent2>
      <a:accent3>
        <a:srgbClr val="82CECC"/>
      </a:accent3>
      <a:accent4>
        <a:srgbClr val="FFAD2E"/>
      </a:accent4>
      <a:accent5>
        <a:srgbClr val="E67342"/>
      </a:accent5>
      <a:accent6>
        <a:srgbClr val="B580A1"/>
      </a:accent6>
      <a:hlink>
        <a:srgbClr val="82CECC"/>
      </a:hlink>
      <a:folHlink>
        <a:srgbClr val="B580A1"/>
      </a:folHlink>
    </a:clrScheme>
    <a:fontScheme name="Loan Amortization Schedule">
      <a:majorFont>
        <a:latin typeface="Microsoft Sans Serif"/>
        <a:ea typeface=""/>
        <a:cs typeface=""/>
      </a:majorFont>
      <a:minorFont>
        <a:latin typeface="Arial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4"/>
    <pageSetUpPr autoPageBreaks="0"/>
  </sheetPr>
  <dimension ref="B1:X386"/>
  <sheetViews>
    <sheetView showGridLines="0" tabSelected="1" zoomScale="90" zoomScaleNormal="90" workbookViewId="0">
      <selection activeCell="F16" sqref="F16"/>
    </sheetView>
  </sheetViews>
  <sheetFormatPr defaultRowHeight="14.25" x14ac:dyDescent="0.2"/>
  <cols>
    <col min="1" max="1" width="2.625" customWidth="1"/>
    <col min="2" max="2" width="9.375" customWidth="1"/>
    <col min="3" max="3" width="14" customWidth="1"/>
    <col min="4" max="4" width="20.25" customWidth="1"/>
    <col min="5" max="5" width="15.375" customWidth="1"/>
    <col min="6" max="6" width="23.125" customWidth="1"/>
    <col min="7" max="7" width="21.25" customWidth="1"/>
    <col min="8" max="8" width="12.75" customWidth="1"/>
    <col min="9" max="9" width="15.375" customWidth="1"/>
    <col min="10" max="10" width="20.125" customWidth="1"/>
    <col min="11" max="11" width="18.5" customWidth="1"/>
    <col min="12" max="12" width="5.25" customWidth="1"/>
    <col min="13" max="13" width="10.875" bestFit="1" customWidth="1"/>
    <col min="14" max="14" width="8.375" customWidth="1"/>
    <col min="15" max="15" width="12.625" customWidth="1"/>
    <col min="16" max="16" width="13.125" bestFit="1" customWidth="1"/>
    <col min="17" max="17" width="14.375" bestFit="1" customWidth="1"/>
    <col min="18" max="18" width="9.625" customWidth="1"/>
    <col min="19" max="19" width="11.75" customWidth="1"/>
    <col min="20" max="20" width="12.75" customWidth="1"/>
    <col min="21" max="21" width="11.5" bestFit="1" customWidth="1"/>
    <col min="22" max="22" width="13.5" bestFit="1" customWidth="1"/>
    <col min="23" max="23" width="10.25" bestFit="1" customWidth="1"/>
    <col min="24" max="24" width="11.5" bestFit="1" customWidth="1"/>
  </cols>
  <sheetData>
    <row r="1" spans="2:24" ht="30" customHeight="1" thickBot="1" x14ac:dyDescent="0.25">
      <c r="B1" s="40" t="s">
        <v>0</v>
      </c>
      <c r="C1" s="40"/>
      <c r="D1" s="40"/>
      <c r="E1" s="1"/>
      <c r="F1" s="40" t="s">
        <v>75</v>
      </c>
      <c r="G1" s="41"/>
      <c r="H1" s="42"/>
      <c r="I1" s="42"/>
      <c r="J1" s="22"/>
      <c r="K1" s="22"/>
      <c r="W1" s="76"/>
      <c r="X1" s="76"/>
    </row>
    <row r="2" spans="2:24" ht="27.75" customHeight="1" thickTop="1" thickBot="1" x14ac:dyDescent="0.25">
      <c r="B2" s="2" t="s">
        <v>1</v>
      </c>
      <c r="C2" s="2"/>
      <c r="D2" s="2"/>
      <c r="F2" s="74" t="s">
        <v>2</v>
      </c>
      <c r="G2" s="77"/>
      <c r="H2" s="23"/>
      <c r="I2" s="77" t="s">
        <v>3</v>
      </c>
      <c r="J2" s="77"/>
      <c r="K2" s="38"/>
      <c r="W2" s="76"/>
      <c r="X2" s="76"/>
    </row>
    <row r="3" spans="2:24" ht="14.25" customHeight="1" x14ac:dyDescent="0.2">
      <c r="B3" s="79" t="s">
        <v>4</v>
      </c>
      <c r="C3" s="79"/>
      <c r="D3" s="66">
        <v>200000</v>
      </c>
      <c r="F3" s="7" t="s">
        <v>5</v>
      </c>
      <c r="G3" s="3">
        <f>D3-D5</f>
        <v>140000</v>
      </c>
      <c r="I3" s="7" t="s">
        <v>6</v>
      </c>
      <c r="J3" s="7"/>
      <c r="K3" s="71">
        <v>4000</v>
      </c>
      <c r="W3" s="12"/>
      <c r="X3" s="34"/>
    </row>
    <row r="4" spans="2:24" x14ac:dyDescent="0.2">
      <c r="B4" s="72" t="s">
        <v>7</v>
      </c>
      <c r="C4" s="72"/>
      <c r="D4" s="67">
        <v>0.3</v>
      </c>
      <c r="E4" s="8"/>
      <c r="F4" s="7" t="s">
        <v>8</v>
      </c>
      <c r="G4" s="18">
        <f>IF(LoanIsGood,-PMT(InterestRate/PaymentsPerYear,ScheduledNumberOfPayments,LoanAmount),"")</f>
        <v>839.37073521385321</v>
      </c>
      <c r="I4" s="7" t="s">
        <v>9</v>
      </c>
      <c r="J4" s="7"/>
      <c r="K4" s="29">
        <f>K3/12</f>
        <v>333.33333333333331</v>
      </c>
      <c r="W4" s="12"/>
      <c r="X4" s="34"/>
    </row>
    <row r="5" spans="2:24" ht="14.45" customHeight="1" x14ac:dyDescent="0.2">
      <c r="B5" s="72" t="s">
        <v>10</v>
      </c>
      <c r="C5" s="72"/>
      <c r="D5" s="18">
        <f>SUM(D3*D4)</f>
        <v>60000</v>
      </c>
      <c r="E5" s="78"/>
      <c r="F5" s="7" t="s">
        <v>11</v>
      </c>
      <c r="G5" s="18">
        <f>ScheduledPayment+ExtraPayments</f>
        <v>839.37073521385321</v>
      </c>
      <c r="I5" s="7" t="s">
        <v>12</v>
      </c>
      <c r="J5" s="7"/>
      <c r="K5" s="29">
        <f>K3/360</f>
        <v>11.111111111111111</v>
      </c>
      <c r="W5" s="12"/>
      <c r="X5" s="34"/>
    </row>
    <row r="6" spans="2:24" x14ac:dyDescent="0.2">
      <c r="B6" s="72" t="s">
        <v>13</v>
      </c>
      <c r="C6" s="72"/>
      <c r="D6" s="18">
        <f>D3-D5</f>
        <v>140000</v>
      </c>
      <c r="E6" s="78"/>
      <c r="F6" s="7" t="s">
        <v>14</v>
      </c>
      <c r="G6" s="17">
        <f>IF(LoanIsGood,LoanPeriod*PaymentsPerYear,"")</f>
        <v>360</v>
      </c>
      <c r="I6" s="25"/>
      <c r="J6" s="25"/>
      <c r="W6" s="12"/>
      <c r="X6" s="34"/>
    </row>
    <row r="7" spans="2:24" x14ac:dyDescent="0.2">
      <c r="B7" s="72" t="s">
        <v>15</v>
      </c>
      <c r="C7" s="72"/>
      <c r="D7" s="68">
        <v>0.06</v>
      </c>
      <c r="E7" s="78"/>
      <c r="F7" s="7" t="s">
        <v>16</v>
      </c>
      <c r="G7" s="17">
        <f>ROUNDUP(NPER(InterestRate/12,-G5,D6),0)</f>
        <v>361</v>
      </c>
      <c r="I7" s="24" t="s">
        <v>17</v>
      </c>
      <c r="J7" s="24"/>
      <c r="K7" s="21" t="s">
        <v>62</v>
      </c>
      <c r="W7" s="12"/>
      <c r="X7" s="34"/>
    </row>
    <row r="8" spans="2:24" x14ac:dyDescent="0.2">
      <c r="B8" s="72" t="s">
        <v>18</v>
      </c>
      <c r="C8" s="72"/>
      <c r="D8" s="69">
        <v>30</v>
      </c>
      <c r="E8" s="19"/>
      <c r="F8" s="7" t="s">
        <v>19</v>
      </c>
      <c r="G8" s="18">
        <f>TotalEarlyPayments</f>
        <v>0</v>
      </c>
      <c r="I8" s="7" t="s">
        <v>20</v>
      </c>
      <c r="J8" s="7"/>
      <c r="K8" s="33" t="s">
        <v>62</v>
      </c>
      <c r="W8" s="12"/>
      <c r="X8" s="34"/>
    </row>
    <row r="9" spans="2:24" x14ac:dyDescent="0.2">
      <c r="B9" s="72" t="s">
        <v>21</v>
      </c>
      <c r="C9" s="72"/>
      <c r="D9" s="13">
        <v>12</v>
      </c>
      <c r="E9" s="19"/>
      <c r="F9" s="7" t="s">
        <v>22</v>
      </c>
      <c r="G9" s="18">
        <f>TotalInterest</f>
        <v>162853.64456295766</v>
      </c>
      <c r="I9" s="7" t="s">
        <v>23</v>
      </c>
      <c r="J9" s="7"/>
      <c r="K9" s="33" t="s">
        <v>62</v>
      </c>
      <c r="W9" s="12"/>
      <c r="X9" s="34"/>
    </row>
    <row r="10" spans="2:24" x14ac:dyDescent="0.2">
      <c r="B10" s="72" t="s">
        <v>24</v>
      </c>
      <c r="C10" s="72"/>
      <c r="D10" s="70">
        <v>46054</v>
      </c>
      <c r="F10" s="7" t="s">
        <v>25</v>
      </c>
      <c r="G10" s="18">
        <f>G5*G7</f>
        <v>303012.83541220101</v>
      </c>
      <c r="I10" s="7" t="s">
        <v>26</v>
      </c>
      <c r="J10" s="7"/>
      <c r="K10" s="33" t="s">
        <v>62</v>
      </c>
      <c r="W10" s="12"/>
      <c r="X10" s="34"/>
    </row>
    <row r="11" spans="2:24" x14ac:dyDescent="0.2">
      <c r="B11" s="72" t="s">
        <v>27</v>
      </c>
      <c r="C11" s="72"/>
      <c r="D11" s="14">
        <v>0</v>
      </c>
      <c r="F11" s="7" t="s">
        <v>28</v>
      </c>
      <c r="G11" s="16">
        <f>G5+K4+K21</f>
        <v>1381.0374018805198</v>
      </c>
      <c r="I11" s="7" t="s">
        <v>29</v>
      </c>
      <c r="J11" s="7"/>
      <c r="K11" s="33" t="s">
        <v>62</v>
      </c>
      <c r="W11" s="12"/>
      <c r="X11" s="34"/>
    </row>
    <row r="12" spans="2:24" ht="15" x14ac:dyDescent="0.2">
      <c r="F12" s="73" t="s">
        <v>62</v>
      </c>
      <c r="G12" s="73"/>
      <c r="H12" s="15"/>
      <c r="I12" s="7" t="s">
        <v>30</v>
      </c>
      <c r="J12" s="7"/>
      <c r="K12" s="33" t="s">
        <v>62</v>
      </c>
      <c r="W12" s="12"/>
      <c r="X12" s="34"/>
    </row>
    <row r="13" spans="2:24" ht="19.149999999999999" customHeight="1" thickBot="1" x14ac:dyDescent="0.25">
      <c r="B13" s="74" t="s">
        <v>31</v>
      </c>
      <c r="C13" s="74"/>
      <c r="D13" s="74"/>
      <c r="F13" s="74" t="s">
        <v>32</v>
      </c>
      <c r="G13" s="74"/>
      <c r="W13" s="12"/>
      <c r="X13" s="34"/>
    </row>
    <row r="14" spans="2:24" ht="15" customHeight="1" x14ac:dyDescent="0.2">
      <c r="B14" s="72" t="s">
        <v>33</v>
      </c>
      <c r="C14" s="72"/>
      <c r="D14" s="27">
        <v>0.04</v>
      </c>
      <c r="E14" s="12"/>
      <c r="F14" s="36"/>
      <c r="G14" s="30"/>
      <c r="I14" s="24" t="s">
        <v>34</v>
      </c>
      <c r="J14" s="24"/>
      <c r="K14" s="26"/>
      <c r="O14" s="12"/>
    </row>
    <row r="15" spans="2:24" ht="14.45" customHeight="1" x14ac:dyDescent="0.2">
      <c r="B15" s="75" t="s">
        <v>63</v>
      </c>
      <c r="C15" s="75"/>
      <c r="D15" s="43">
        <f>D14*D6</f>
        <v>5600</v>
      </c>
      <c r="E15" s="12"/>
      <c r="F15" s="36"/>
      <c r="G15" s="28"/>
      <c r="I15" s="7" t="s">
        <v>35</v>
      </c>
      <c r="J15" s="7"/>
      <c r="K15" s="31"/>
    </row>
    <row r="16" spans="2:24" x14ac:dyDescent="0.2">
      <c r="B16" s="75" t="s">
        <v>64</v>
      </c>
      <c r="C16" s="75"/>
      <c r="D16" s="44">
        <v>150</v>
      </c>
      <c r="E16" s="12"/>
      <c r="F16" s="36" t="s">
        <v>76</v>
      </c>
      <c r="G16" s="30"/>
      <c r="I16" s="7" t="s">
        <v>36</v>
      </c>
      <c r="J16" s="7"/>
      <c r="K16" s="32">
        <f>K15-K14</f>
        <v>0</v>
      </c>
    </row>
    <row r="17" spans="2:11" x14ac:dyDescent="0.2">
      <c r="B17" s="72" t="s">
        <v>37</v>
      </c>
      <c r="C17" s="72"/>
      <c r="D17" s="28">
        <v>0</v>
      </c>
      <c r="E17" s="12"/>
      <c r="F17" s="36" t="s">
        <v>66</v>
      </c>
      <c r="G17" s="28"/>
      <c r="I17" s="7" t="s">
        <v>38</v>
      </c>
      <c r="J17" s="7"/>
      <c r="K17" s="29">
        <f>K16*K5</f>
        <v>0</v>
      </c>
    </row>
    <row r="18" spans="2:11" x14ac:dyDescent="0.2">
      <c r="B18" s="72" t="s">
        <v>39</v>
      </c>
      <c r="C18" s="72"/>
      <c r="D18" s="30">
        <v>0</v>
      </c>
      <c r="E18" s="12"/>
      <c r="F18" s="36"/>
      <c r="G18" s="30"/>
    </row>
    <row r="19" spans="2:11" ht="15" thickBot="1" x14ac:dyDescent="0.25">
      <c r="B19" s="72" t="s">
        <v>61</v>
      </c>
      <c r="C19" s="72"/>
      <c r="D19" s="28">
        <v>750</v>
      </c>
      <c r="E19" s="12"/>
      <c r="F19" s="36" t="s">
        <v>40</v>
      </c>
      <c r="G19" s="28">
        <f>K21*2</f>
        <v>416.66666666666669</v>
      </c>
      <c r="I19" s="37" t="s">
        <v>41</v>
      </c>
      <c r="J19" s="37"/>
      <c r="K19" s="37"/>
    </row>
    <row r="20" spans="2:11" x14ac:dyDescent="0.2">
      <c r="B20" s="72"/>
      <c r="C20" s="72"/>
      <c r="D20" s="30"/>
      <c r="E20" s="12"/>
      <c r="F20" s="36" t="s">
        <v>42</v>
      </c>
      <c r="G20" s="30">
        <f>K4*2</f>
        <v>666.66666666666663</v>
      </c>
      <c r="H20" s="12"/>
      <c r="I20" s="7" t="s">
        <v>43</v>
      </c>
      <c r="J20" s="7"/>
      <c r="K20" s="71">
        <v>2500</v>
      </c>
    </row>
    <row r="21" spans="2:11" x14ac:dyDescent="0.2">
      <c r="B21" s="72"/>
      <c r="C21" s="72"/>
      <c r="D21" s="28"/>
      <c r="E21" s="35"/>
      <c r="F21" s="36"/>
      <c r="G21" s="28"/>
      <c r="I21" s="7" t="s">
        <v>44</v>
      </c>
      <c r="J21" s="7"/>
      <c r="K21" s="29">
        <f>K20/12</f>
        <v>208.33333333333334</v>
      </c>
    </row>
    <row r="22" spans="2:11" ht="15" thickBot="1" x14ac:dyDescent="0.25">
      <c r="B22" s="72"/>
      <c r="C22" s="72"/>
      <c r="D22" s="30"/>
      <c r="E22" s="12"/>
      <c r="F22" s="36"/>
      <c r="G22" s="30"/>
    </row>
    <row r="23" spans="2:11" ht="15.75" thickTop="1" x14ac:dyDescent="0.25">
      <c r="B23" s="72"/>
      <c r="C23" s="72"/>
      <c r="D23" s="28"/>
      <c r="E23" s="12"/>
      <c r="F23" s="36" t="s">
        <v>45</v>
      </c>
      <c r="G23" s="29"/>
      <c r="I23" s="46" t="s">
        <v>67</v>
      </c>
      <c r="J23" s="47"/>
      <c r="K23" s="48">
        <f>SUM(D3)</f>
        <v>200000</v>
      </c>
    </row>
    <row r="24" spans="2:11" ht="15" x14ac:dyDescent="0.25">
      <c r="B24" s="72" t="s">
        <v>65</v>
      </c>
      <c r="C24" s="72"/>
      <c r="D24" s="30">
        <f>SUM(D15:D23)</f>
        <v>6500</v>
      </c>
      <c r="E24" s="12"/>
      <c r="F24" s="7" t="s">
        <v>46</v>
      </c>
      <c r="G24" s="29">
        <f>SUM(D15:D24)+D5+SUM(G14:G23)</f>
        <v>74083.333333333328</v>
      </c>
      <c r="I24" s="49" t="s">
        <v>68</v>
      </c>
      <c r="J24" s="45"/>
      <c r="K24" s="50">
        <f>D6</f>
        <v>140000</v>
      </c>
    </row>
    <row r="25" spans="2:11" ht="14.45" customHeight="1" thickBot="1" x14ac:dyDescent="0.3">
      <c r="B25" s="20"/>
      <c r="C25" s="20"/>
      <c r="D25" s="15"/>
      <c r="I25" s="51" t="s">
        <v>69</v>
      </c>
      <c r="J25" s="52"/>
      <c r="K25" s="53">
        <f>K24/K23</f>
        <v>0.7</v>
      </c>
    </row>
    <row r="26" spans="2:11" s="11" customFormat="1" ht="35.1" customHeight="1" thickTop="1" x14ac:dyDescent="0.2">
      <c r="B26" s="9" t="s">
        <v>47</v>
      </c>
      <c r="C26" s="9" t="s">
        <v>48</v>
      </c>
      <c r="D26" s="10" t="s">
        <v>49</v>
      </c>
      <c r="E26" s="10" t="s">
        <v>50</v>
      </c>
      <c r="F26" s="10" t="s">
        <v>51</v>
      </c>
      <c r="G26" s="10" t="s">
        <v>52</v>
      </c>
      <c r="H26" s="10" t="s">
        <v>53</v>
      </c>
      <c r="I26" s="10" t="s">
        <v>54</v>
      </c>
      <c r="J26" s="10" t="s">
        <v>55</v>
      </c>
      <c r="K26" s="10" t="s">
        <v>56</v>
      </c>
    </row>
    <row r="27" spans="2:11" x14ac:dyDescent="0.2">
      <c r="B27" s="4">
        <f>IF(LoanIsGood,IF(ROW()-ROW(PaymentSchedule[[#Headers],[PMT NO]])&gt;ScheduledNumberOfPayments,"",ROW()-ROW(PaymentSchedule[[#Headers],[PMT NO]])),"")</f>
        <v>1</v>
      </c>
      <c r="C27" s="5">
        <f>IF(PaymentSchedule[[#This Row],[PMT NO]]&lt;&gt;"",EOMONTH(LoanStartDate,ROW(PaymentSchedule[[#This Row],[PMT NO]])-ROW(PaymentSchedule[[#Headers],[PMT NO]])-2)+DAY(LoanStartDate),"")</f>
        <v>46054</v>
      </c>
      <c r="D27" s="6">
        <f>IF(PaymentSchedule[[#This Row],[PMT NO]]&lt;&gt;"",IF(ROW()-ROW(PaymentSchedule[[#Headers],[BEGINNING BALANCE]])=1,LoanAmount,INDEX(PaymentSchedule[ENDING BALANCE],ROW()-ROW(PaymentSchedule[[#Headers],[BEGINNING BALANCE]])-1)),"")</f>
        <v>140000</v>
      </c>
      <c r="E27" s="6">
        <f>IF(PaymentSchedule[[#This Row],[PMT NO]]&lt;&gt;"",ScheduledPayment,"")</f>
        <v>839.37073521385321</v>
      </c>
      <c r="F27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27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27" s="6">
        <f>IF(PaymentSchedule[[#This Row],[PMT NO]]&lt;&gt;"",PaymentSchedule[[#This Row],[TOTAL PAYMENT]]-PaymentSchedule[[#This Row],[INTEREST]],"")</f>
        <v>139.37073521385321</v>
      </c>
      <c r="I27" s="6">
        <f>IF(PaymentSchedule[[#This Row],[PMT NO]]&lt;&gt;"",PaymentSchedule[[#This Row],[BEGINNING BALANCE]]*(InterestRate/PaymentsPerYear),"")</f>
        <v>700</v>
      </c>
      <c r="J27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139860.62926478614</v>
      </c>
      <c r="K27" s="6">
        <f>IF(PaymentSchedule[[#This Row],[PMT NO]]&lt;&gt;"",SUM(INDEX(PaymentSchedule[INTEREST],1,1):PaymentSchedule[[#This Row],[INTEREST]]),"")</f>
        <v>700</v>
      </c>
    </row>
    <row r="28" spans="2:11" x14ac:dyDescent="0.2">
      <c r="B28" s="4">
        <f>IF(LoanIsGood,IF(ROW()-ROW(PaymentSchedule[[#Headers],[PMT NO]])&gt;ScheduledNumberOfPayments,"",ROW()-ROW(PaymentSchedule[[#Headers],[PMT NO]])),"")</f>
        <v>2</v>
      </c>
      <c r="C28" s="5">
        <f>IF(PaymentSchedule[[#This Row],[PMT NO]]&lt;&gt;"",EOMONTH(LoanStartDate,ROW(PaymentSchedule[[#This Row],[PMT NO]])-ROW(PaymentSchedule[[#Headers],[PMT NO]])-2)+DAY(LoanStartDate),"")</f>
        <v>46082</v>
      </c>
      <c r="D28" s="6">
        <f>IF(PaymentSchedule[[#This Row],[PMT NO]]&lt;&gt;"",IF(ROW()-ROW(PaymentSchedule[[#Headers],[BEGINNING BALANCE]])=1,LoanAmount,INDEX(PaymentSchedule[ENDING BALANCE],ROW()-ROW(PaymentSchedule[[#Headers],[BEGINNING BALANCE]])-1)),"")</f>
        <v>139860.62926478614</v>
      </c>
      <c r="E28" s="6">
        <f>IF(PaymentSchedule[[#This Row],[PMT NO]]&lt;&gt;"",ScheduledPayment,"")</f>
        <v>839.37073521385321</v>
      </c>
      <c r="F28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28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28" s="6">
        <f>IF(PaymentSchedule[[#This Row],[PMT NO]]&lt;&gt;"",PaymentSchedule[[#This Row],[TOTAL PAYMENT]]-PaymentSchedule[[#This Row],[INTEREST]],"")</f>
        <v>140.06758888992249</v>
      </c>
      <c r="I28" s="6">
        <f>IF(PaymentSchedule[[#This Row],[PMT NO]]&lt;&gt;"",PaymentSchedule[[#This Row],[BEGINNING BALANCE]]*(InterestRate/PaymentsPerYear),"")</f>
        <v>699.30314632393072</v>
      </c>
      <c r="J28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139720.56167589623</v>
      </c>
      <c r="K28" s="6">
        <f>IF(PaymentSchedule[[#This Row],[PMT NO]]&lt;&gt;"",SUM(INDEX(PaymentSchedule[INTEREST],1,1):PaymentSchedule[[#This Row],[INTEREST]]),"")</f>
        <v>1399.3031463239308</v>
      </c>
    </row>
    <row r="29" spans="2:11" x14ac:dyDescent="0.2">
      <c r="B29" s="4">
        <f>IF(LoanIsGood,IF(ROW()-ROW(PaymentSchedule[[#Headers],[PMT NO]])&gt;ScheduledNumberOfPayments,"",ROW()-ROW(PaymentSchedule[[#Headers],[PMT NO]])),"")</f>
        <v>3</v>
      </c>
      <c r="C29" s="5">
        <f>IF(PaymentSchedule[[#This Row],[PMT NO]]&lt;&gt;"",EOMONTH(LoanStartDate,ROW(PaymentSchedule[[#This Row],[PMT NO]])-ROW(PaymentSchedule[[#Headers],[PMT NO]])-2)+DAY(LoanStartDate),"")</f>
        <v>46113</v>
      </c>
      <c r="D29" s="6">
        <f>IF(PaymentSchedule[[#This Row],[PMT NO]]&lt;&gt;"",IF(ROW()-ROW(PaymentSchedule[[#Headers],[BEGINNING BALANCE]])=1,LoanAmount,INDEX(PaymentSchedule[ENDING BALANCE],ROW()-ROW(PaymentSchedule[[#Headers],[BEGINNING BALANCE]])-1)),"")</f>
        <v>139720.56167589623</v>
      </c>
      <c r="E29" s="6">
        <f>IF(PaymentSchedule[[#This Row],[PMT NO]]&lt;&gt;"",ScheduledPayment,"")</f>
        <v>839.37073521385321</v>
      </c>
      <c r="F29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29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29" s="6">
        <f>IF(PaymentSchedule[[#This Row],[PMT NO]]&lt;&gt;"",PaymentSchedule[[#This Row],[TOTAL PAYMENT]]-PaymentSchedule[[#This Row],[INTEREST]],"")</f>
        <v>140.76792683437202</v>
      </c>
      <c r="I29" s="6">
        <f>IF(PaymentSchedule[[#This Row],[PMT NO]]&lt;&gt;"",PaymentSchedule[[#This Row],[BEGINNING BALANCE]]*(InterestRate/PaymentsPerYear),"")</f>
        <v>698.60280837948119</v>
      </c>
      <c r="J29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139579.79374906185</v>
      </c>
      <c r="K29" s="6">
        <f>IF(PaymentSchedule[[#This Row],[PMT NO]]&lt;&gt;"",SUM(INDEX(PaymentSchedule[INTEREST],1,1):PaymentSchedule[[#This Row],[INTEREST]]),"")</f>
        <v>2097.9059547034121</v>
      </c>
    </row>
    <row r="30" spans="2:11" x14ac:dyDescent="0.2">
      <c r="B30" s="4">
        <f>IF(LoanIsGood,IF(ROW()-ROW(PaymentSchedule[[#Headers],[PMT NO]])&gt;ScheduledNumberOfPayments,"",ROW()-ROW(PaymentSchedule[[#Headers],[PMT NO]])),"")</f>
        <v>4</v>
      </c>
      <c r="C30" s="5">
        <f>IF(PaymentSchedule[[#This Row],[PMT NO]]&lt;&gt;"",EOMONTH(LoanStartDate,ROW(PaymentSchedule[[#This Row],[PMT NO]])-ROW(PaymentSchedule[[#Headers],[PMT NO]])-2)+DAY(LoanStartDate),"")</f>
        <v>46143</v>
      </c>
      <c r="D30" s="6">
        <f>IF(PaymentSchedule[[#This Row],[PMT NO]]&lt;&gt;"",IF(ROW()-ROW(PaymentSchedule[[#Headers],[BEGINNING BALANCE]])=1,LoanAmount,INDEX(PaymentSchedule[ENDING BALANCE],ROW()-ROW(PaymentSchedule[[#Headers],[BEGINNING BALANCE]])-1)),"")</f>
        <v>139579.79374906185</v>
      </c>
      <c r="E30" s="6">
        <f>IF(PaymentSchedule[[#This Row],[PMT NO]]&lt;&gt;"",ScheduledPayment,"")</f>
        <v>839.37073521385321</v>
      </c>
      <c r="F30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30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30" s="6">
        <f>IF(PaymentSchedule[[#This Row],[PMT NO]]&lt;&gt;"",PaymentSchedule[[#This Row],[TOTAL PAYMENT]]-PaymentSchedule[[#This Row],[INTEREST]],"")</f>
        <v>141.47176646854393</v>
      </c>
      <c r="I30" s="6">
        <f>IF(PaymentSchedule[[#This Row],[PMT NO]]&lt;&gt;"",PaymentSchedule[[#This Row],[BEGINNING BALANCE]]*(InterestRate/PaymentsPerYear),"")</f>
        <v>697.89896874530928</v>
      </c>
      <c r="J30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139438.3219825933</v>
      </c>
      <c r="K30" s="6">
        <f>IF(PaymentSchedule[[#This Row],[PMT NO]]&lt;&gt;"",SUM(INDEX(PaymentSchedule[INTEREST],1,1):PaymentSchedule[[#This Row],[INTEREST]]),"")</f>
        <v>2795.8049234487216</v>
      </c>
    </row>
    <row r="31" spans="2:11" x14ac:dyDescent="0.2">
      <c r="B31" s="4">
        <f>IF(LoanIsGood,IF(ROW()-ROW(PaymentSchedule[[#Headers],[PMT NO]])&gt;ScheduledNumberOfPayments,"",ROW()-ROW(PaymentSchedule[[#Headers],[PMT NO]])),"")</f>
        <v>5</v>
      </c>
      <c r="C31" s="5">
        <f>IF(PaymentSchedule[[#This Row],[PMT NO]]&lt;&gt;"",EOMONTH(LoanStartDate,ROW(PaymentSchedule[[#This Row],[PMT NO]])-ROW(PaymentSchedule[[#Headers],[PMT NO]])-2)+DAY(LoanStartDate),"")</f>
        <v>46174</v>
      </c>
      <c r="D31" s="6">
        <f>IF(PaymentSchedule[[#This Row],[PMT NO]]&lt;&gt;"",IF(ROW()-ROW(PaymentSchedule[[#Headers],[BEGINNING BALANCE]])=1,LoanAmount,INDEX(PaymentSchedule[ENDING BALANCE],ROW()-ROW(PaymentSchedule[[#Headers],[BEGINNING BALANCE]])-1)),"")</f>
        <v>139438.3219825933</v>
      </c>
      <c r="E31" s="6">
        <f>IF(PaymentSchedule[[#This Row],[PMT NO]]&lt;&gt;"",ScheduledPayment,"")</f>
        <v>839.37073521385321</v>
      </c>
      <c r="F31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31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31" s="6">
        <f>IF(PaymentSchedule[[#This Row],[PMT NO]]&lt;&gt;"",PaymentSchedule[[#This Row],[TOTAL PAYMENT]]-PaymentSchedule[[#This Row],[INTEREST]],"")</f>
        <v>142.17912530088665</v>
      </c>
      <c r="I31" s="6">
        <f>IF(PaymentSchedule[[#This Row],[PMT NO]]&lt;&gt;"",PaymentSchedule[[#This Row],[BEGINNING BALANCE]]*(InterestRate/PaymentsPerYear),"")</f>
        <v>697.19160991296656</v>
      </c>
      <c r="J31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139296.14285729241</v>
      </c>
      <c r="K31" s="6">
        <f>IF(PaymentSchedule[[#This Row],[PMT NO]]&lt;&gt;"",SUM(INDEX(PaymentSchedule[INTEREST],1,1):PaymentSchedule[[#This Row],[INTEREST]]),"")</f>
        <v>3492.9965333616883</v>
      </c>
    </row>
    <row r="32" spans="2:11" x14ac:dyDescent="0.2">
      <c r="B32" s="4">
        <f>IF(LoanIsGood,IF(ROW()-ROW(PaymentSchedule[[#Headers],[PMT NO]])&gt;ScheduledNumberOfPayments,"",ROW()-ROW(PaymentSchedule[[#Headers],[PMT NO]])),"")</f>
        <v>6</v>
      </c>
      <c r="C32" s="5">
        <f>IF(PaymentSchedule[[#This Row],[PMT NO]]&lt;&gt;"",EOMONTH(LoanStartDate,ROW(PaymentSchedule[[#This Row],[PMT NO]])-ROW(PaymentSchedule[[#Headers],[PMT NO]])-2)+DAY(LoanStartDate),"")</f>
        <v>46204</v>
      </c>
      <c r="D32" s="6">
        <f>IF(PaymentSchedule[[#This Row],[PMT NO]]&lt;&gt;"",IF(ROW()-ROW(PaymentSchedule[[#Headers],[BEGINNING BALANCE]])=1,LoanAmount,INDEX(PaymentSchedule[ENDING BALANCE],ROW()-ROW(PaymentSchedule[[#Headers],[BEGINNING BALANCE]])-1)),"")</f>
        <v>139296.14285729241</v>
      </c>
      <c r="E32" s="6">
        <f>IF(PaymentSchedule[[#This Row],[PMT NO]]&lt;&gt;"",ScheduledPayment,"")</f>
        <v>839.37073521385321</v>
      </c>
      <c r="F32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32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32" s="6">
        <f>IF(PaymentSchedule[[#This Row],[PMT NO]]&lt;&gt;"",PaymentSchedule[[#This Row],[TOTAL PAYMENT]]-PaymentSchedule[[#This Row],[INTEREST]],"")</f>
        <v>142.89002092739122</v>
      </c>
      <c r="I32" s="6">
        <f>IF(PaymentSchedule[[#This Row],[PMT NO]]&lt;&gt;"",PaymentSchedule[[#This Row],[BEGINNING BALANCE]]*(InterestRate/PaymentsPerYear),"")</f>
        <v>696.48071428646199</v>
      </c>
      <c r="J32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139153.25283636502</v>
      </c>
      <c r="K32" s="6">
        <f>IF(PaymentSchedule[[#This Row],[PMT NO]]&lt;&gt;"",SUM(INDEX(PaymentSchedule[INTEREST],1,1):PaymentSchedule[[#This Row],[INTEREST]]),"")</f>
        <v>4189.4772476481503</v>
      </c>
    </row>
    <row r="33" spans="2:11" x14ac:dyDescent="0.2">
      <c r="B33" s="4">
        <f>IF(LoanIsGood,IF(ROW()-ROW(PaymentSchedule[[#Headers],[PMT NO]])&gt;ScheduledNumberOfPayments,"",ROW()-ROW(PaymentSchedule[[#Headers],[PMT NO]])),"")</f>
        <v>7</v>
      </c>
      <c r="C33" s="5">
        <f>IF(PaymentSchedule[[#This Row],[PMT NO]]&lt;&gt;"",EOMONTH(LoanStartDate,ROW(PaymentSchedule[[#This Row],[PMT NO]])-ROW(PaymentSchedule[[#Headers],[PMT NO]])-2)+DAY(LoanStartDate),"")</f>
        <v>46235</v>
      </c>
      <c r="D33" s="6">
        <f>IF(PaymentSchedule[[#This Row],[PMT NO]]&lt;&gt;"",IF(ROW()-ROW(PaymentSchedule[[#Headers],[BEGINNING BALANCE]])=1,LoanAmount,INDEX(PaymentSchedule[ENDING BALANCE],ROW()-ROW(PaymentSchedule[[#Headers],[BEGINNING BALANCE]])-1)),"")</f>
        <v>139153.25283636502</v>
      </c>
      <c r="E33" s="6">
        <f>IF(PaymentSchedule[[#This Row],[PMT NO]]&lt;&gt;"",ScheduledPayment,"")</f>
        <v>839.37073521385321</v>
      </c>
      <c r="F33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33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33" s="6">
        <f>IF(PaymentSchedule[[#This Row],[PMT NO]]&lt;&gt;"",PaymentSchedule[[#This Row],[TOTAL PAYMENT]]-PaymentSchedule[[#This Row],[INTEREST]],"")</f>
        <v>143.60447103202807</v>
      </c>
      <c r="I33" s="6">
        <f>IF(PaymentSchedule[[#This Row],[PMT NO]]&lt;&gt;"",PaymentSchedule[[#This Row],[BEGINNING BALANCE]]*(InterestRate/PaymentsPerYear),"")</f>
        <v>695.76626418182514</v>
      </c>
      <c r="J33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139009.64836533298</v>
      </c>
      <c r="K33" s="6">
        <f>IF(PaymentSchedule[[#This Row],[PMT NO]]&lt;&gt;"",SUM(INDEX(PaymentSchedule[INTEREST],1,1):PaymentSchedule[[#This Row],[INTEREST]]),"")</f>
        <v>4885.2435118299754</v>
      </c>
    </row>
    <row r="34" spans="2:11" x14ac:dyDescent="0.2">
      <c r="B34" s="4">
        <f>IF(LoanIsGood,IF(ROW()-ROW(PaymentSchedule[[#Headers],[PMT NO]])&gt;ScheduledNumberOfPayments,"",ROW()-ROW(PaymentSchedule[[#Headers],[PMT NO]])),"")</f>
        <v>8</v>
      </c>
      <c r="C34" s="5">
        <f>IF(PaymentSchedule[[#This Row],[PMT NO]]&lt;&gt;"",EOMONTH(LoanStartDate,ROW(PaymentSchedule[[#This Row],[PMT NO]])-ROW(PaymentSchedule[[#Headers],[PMT NO]])-2)+DAY(LoanStartDate),"")</f>
        <v>46266</v>
      </c>
      <c r="D34" s="6">
        <f>IF(PaymentSchedule[[#This Row],[PMT NO]]&lt;&gt;"",IF(ROW()-ROW(PaymentSchedule[[#Headers],[BEGINNING BALANCE]])=1,LoanAmount,INDEX(PaymentSchedule[ENDING BALANCE],ROW()-ROW(PaymentSchedule[[#Headers],[BEGINNING BALANCE]])-1)),"")</f>
        <v>139009.64836533298</v>
      </c>
      <c r="E34" s="6">
        <f>IF(PaymentSchedule[[#This Row],[PMT NO]]&lt;&gt;"",ScheduledPayment,"")</f>
        <v>839.37073521385321</v>
      </c>
      <c r="F34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34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34" s="6">
        <f>IF(PaymentSchedule[[#This Row],[PMT NO]]&lt;&gt;"",PaymentSchedule[[#This Row],[TOTAL PAYMENT]]-PaymentSchedule[[#This Row],[INTEREST]],"")</f>
        <v>144.32249338718827</v>
      </c>
      <c r="I34" s="6">
        <f>IF(PaymentSchedule[[#This Row],[PMT NO]]&lt;&gt;"",PaymentSchedule[[#This Row],[BEGINNING BALANCE]]*(InterestRate/PaymentsPerYear),"")</f>
        <v>695.04824182666493</v>
      </c>
      <c r="J34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138865.3258719458</v>
      </c>
      <c r="K34" s="6">
        <f>IF(PaymentSchedule[[#This Row],[PMT NO]]&lt;&gt;"",SUM(INDEX(PaymentSchedule[INTEREST],1,1):PaymentSchedule[[#This Row],[INTEREST]]),"")</f>
        <v>5580.2917536566401</v>
      </c>
    </row>
    <row r="35" spans="2:11" x14ac:dyDescent="0.2">
      <c r="B35" s="4">
        <f>IF(LoanIsGood,IF(ROW()-ROW(PaymentSchedule[[#Headers],[PMT NO]])&gt;ScheduledNumberOfPayments,"",ROW()-ROW(PaymentSchedule[[#Headers],[PMT NO]])),"")</f>
        <v>9</v>
      </c>
      <c r="C35" s="5">
        <f>IF(PaymentSchedule[[#This Row],[PMT NO]]&lt;&gt;"",EOMONTH(LoanStartDate,ROW(PaymentSchedule[[#This Row],[PMT NO]])-ROW(PaymentSchedule[[#Headers],[PMT NO]])-2)+DAY(LoanStartDate),"")</f>
        <v>46296</v>
      </c>
      <c r="D35" s="6">
        <f>IF(PaymentSchedule[[#This Row],[PMT NO]]&lt;&gt;"",IF(ROW()-ROW(PaymentSchedule[[#Headers],[BEGINNING BALANCE]])=1,LoanAmount,INDEX(PaymentSchedule[ENDING BALANCE],ROW()-ROW(PaymentSchedule[[#Headers],[BEGINNING BALANCE]])-1)),"")</f>
        <v>138865.3258719458</v>
      </c>
      <c r="E35" s="6">
        <f>IF(PaymentSchedule[[#This Row],[PMT NO]]&lt;&gt;"",ScheduledPayment,"")</f>
        <v>839.37073521385321</v>
      </c>
      <c r="F35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35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35" s="6">
        <f>IF(PaymentSchedule[[#This Row],[PMT NO]]&lt;&gt;"",PaymentSchedule[[#This Row],[TOTAL PAYMENT]]-PaymentSchedule[[#This Row],[INTEREST]],"")</f>
        <v>145.04410585412427</v>
      </c>
      <c r="I35" s="6">
        <f>IF(PaymentSchedule[[#This Row],[PMT NO]]&lt;&gt;"",PaymentSchedule[[#This Row],[BEGINNING BALANCE]]*(InterestRate/PaymentsPerYear),"")</f>
        <v>694.32662935972894</v>
      </c>
      <c r="J35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138720.28176609168</v>
      </c>
      <c r="K35" s="6">
        <f>IF(PaymentSchedule[[#This Row],[PMT NO]]&lt;&gt;"",SUM(INDEX(PaymentSchedule[INTEREST],1,1):PaymentSchedule[[#This Row],[INTEREST]]),"")</f>
        <v>6274.6183830163691</v>
      </c>
    </row>
    <row r="36" spans="2:11" x14ac:dyDescent="0.2">
      <c r="B36" s="4">
        <f>IF(LoanIsGood,IF(ROW()-ROW(PaymentSchedule[[#Headers],[PMT NO]])&gt;ScheduledNumberOfPayments,"",ROW()-ROW(PaymentSchedule[[#Headers],[PMT NO]])),"")</f>
        <v>10</v>
      </c>
      <c r="C36" s="5">
        <f>IF(PaymentSchedule[[#This Row],[PMT NO]]&lt;&gt;"",EOMONTH(LoanStartDate,ROW(PaymentSchedule[[#This Row],[PMT NO]])-ROW(PaymentSchedule[[#Headers],[PMT NO]])-2)+DAY(LoanStartDate),"")</f>
        <v>46327</v>
      </c>
      <c r="D36" s="6">
        <f>IF(PaymentSchedule[[#This Row],[PMT NO]]&lt;&gt;"",IF(ROW()-ROW(PaymentSchedule[[#Headers],[BEGINNING BALANCE]])=1,LoanAmount,INDEX(PaymentSchedule[ENDING BALANCE],ROW()-ROW(PaymentSchedule[[#Headers],[BEGINNING BALANCE]])-1)),"")</f>
        <v>138720.28176609168</v>
      </c>
      <c r="E36" s="6">
        <f>IF(PaymentSchedule[[#This Row],[PMT NO]]&lt;&gt;"",ScheduledPayment,"")</f>
        <v>839.37073521385321</v>
      </c>
      <c r="F36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36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36" s="6">
        <f>IF(PaymentSchedule[[#This Row],[PMT NO]]&lt;&gt;"",PaymentSchedule[[#This Row],[TOTAL PAYMENT]]-PaymentSchedule[[#This Row],[INTEREST]],"")</f>
        <v>145.76932638339485</v>
      </c>
      <c r="I36" s="6">
        <f>IF(PaymentSchedule[[#This Row],[PMT NO]]&lt;&gt;"",PaymentSchedule[[#This Row],[BEGINNING BALANCE]]*(InterestRate/PaymentsPerYear),"")</f>
        <v>693.60140883045835</v>
      </c>
      <c r="J36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138574.51243970828</v>
      </c>
      <c r="K36" s="6">
        <f>IF(PaymentSchedule[[#This Row],[PMT NO]]&lt;&gt;"",SUM(INDEX(PaymentSchedule[INTEREST],1,1):PaymentSchedule[[#This Row],[INTEREST]]),"")</f>
        <v>6968.2197918468273</v>
      </c>
    </row>
    <row r="37" spans="2:11" x14ac:dyDescent="0.2">
      <c r="B37" s="4">
        <f>IF(LoanIsGood,IF(ROW()-ROW(PaymentSchedule[[#Headers],[PMT NO]])&gt;ScheduledNumberOfPayments,"",ROW()-ROW(PaymentSchedule[[#Headers],[PMT NO]])),"")</f>
        <v>11</v>
      </c>
      <c r="C37" s="5">
        <f>IF(PaymentSchedule[[#This Row],[PMT NO]]&lt;&gt;"",EOMONTH(LoanStartDate,ROW(PaymentSchedule[[#This Row],[PMT NO]])-ROW(PaymentSchedule[[#Headers],[PMT NO]])-2)+DAY(LoanStartDate),"")</f>
        <v>46357</v>
      </c>
      <c r="D37" s="6">
        <f>IF(PaymentSchedule[[#This Row],[PMT NO]]&lt;&gt;"",IF(ROW()-ROW(PaymentSchedule[[#Headers],[BEGINNING BALANCE]])=1,LoanAmount,INDEX(PaymentSchedule[ENDING BALANCE],ROW()-ROW(PaymentSchedule[[#Headers],[BEGINNING BALANCE]])-1)),"")</f>
        <v>138574.51243970828</v>
      </c>
      <c r="E37" s="6">
        <f>IF(PaymentSchedule[[#This Row],[PMT NO]]&lt;&gt;"",ScheduledPayment,"")</f>
        <v>839.37073521385321</v>
      </c>
      <c r="F37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37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37" s="6">
        <f>IF(PaymentSchedule[[#This Row],[PMT NO]]&lt;&gt;"",PaymentSchedule[[#This Row],[TOTAL PAYMENT]]-PaymentSchedule[[#This Row],[INTEREST]],"")</f>
        <v>146.49817301531175</v>
      </c>
      <c r="I37" s="6">
        <f>IF(PaymentSchedule[[#This Row],[PMT NO]]&lt;&gt;"",PaymentSchedule[[#This Row],[BEGINNING BALANCE]]*(InterestRate/PaymentsPerYear),"")</f>
        <v>692.87256219854146</v>
      </c>
      <c r="J37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138428.01426669298</v>
      </c>
      <c r="K37" s="6">
        <f>IF(PaymentSchedule[[#This Row],[PMT NO]]&lt;&gt;"",SUM(INDEX(PaymentSchedule[INTEREST],1,1):PaymentSchedule[[#This Row],[INTEREST]]),"")</f>
        <v>7661.0923540453687</v>
      </c>
    </row>
    <row r="38" spans="2:11" x14ac:dyDescent="0.2">
      <c r="B38" s="4">
        <f>IF(LoanIsGood,IF(ROW()-ROW(PaymentSchedule[[#Headers],[PMT NO]])&gt;ScheduledNumberOfPayments,"",ROW()-ROW(PaymentSchedule[[#Headers],[PMT NO]])),"")</f>
        <v>12</v>
      </c>
      <c r="C38" s="5">
        <f>IF(PaymentSchedule[[#This Row],[PMT NO]]&lt;&gt;"",EOMONTH(LoanStartDate,ROW(PaymentSchedule[[#This Row],[PMT NO]])-ROW(PaymentSchedule[[#Headers],[PMT NO]])-2)+DAY(LoanStartDate),"")</f>
        <v>46388</v>
      </c>
      <c r="D38" s="6">
        <f>IF(PaymentSchedule[[#This Row],[PMT NO]]&lt;&gt;"",IF(ROW()-ROW(PaymentSchedule[[#Headers],[BEGINNING BALANCE]])=1,LoanAmount,INDEX(PaymentSchedule[ENDING BALANCE],ROW()-ROW(PaymentSchedule[[#Headers],[BEGINNING BALANCE]])-1)),"")</f>
        <v>138428.01426669298</v>
      </c>
      <c r="E38" s="6">
        <f>IF(PaymentSchedule[[#This Row],[PMT NO]]&lt;&gt;"",ScheduledPayment,"")</f>
        <v>839.37073521385321</v>
      </c>
      <c r="F38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38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38" s="6">
        <f>IF(PaymentSchedule[[#This Row],[PMT NO]]&lt;&gt;"",PaymentSchedule[[#This Row],[TOTAL PAYMENT]]-PaymentSchedule[[#This Row],[INTEREST]],"")</f>
        <v>147.23066388038831</v>
      </c>
      <c r="I38" s="6">
        <f>IF(PaymentSchedule[[#This Row],[PMT NO]]&lt;&gt;"",PaymentSchedule[[#This Row],[BEGINNING BALANCE]]*(InterestRate/PaymentsPerYear),"")</f>
        <v>692.1400713334649</v>
      </c>
      <c r="J38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138280.78360281259</v>
      </c>
      <c r="K38" s="6">
        <f>IF(PaymentSchedule[[#This Row],[PMT NO]]&lt;&gt;"",SUM(INDEX(PaymentSchedule[INTEREST],1,1):PaymentSchedule[[#This Row],[INTEREST]]),"")</f>
        <v>8353.2324253788338</v>
      </c>
    </row>
    <row r="39" spans="2:11" x14ac:dyDescent="0.2">
      <c r="B39" s="4">
        <f>IF(LoanIsGood,IF(ROW()-ROW(PaymentSchedule[[#Headers],[PMT NO]])&gt;ScheduledNumberOfPayments,"",ROW()-ROW(PaymentSchedule[[#Headers],[PMT NO]])),"")</f>
        <v>13</v>
      </c>
      <c r="C39" s="5">
        <f>IF(PaymentSchedule[[#This Row],[PMT NO]]&lt;&gt;"",EOMONTH(LoanStartDate,ROW(PaymentSchedule[[#This Row],[PMT NO]])-ROW(PaymentSchedule[[#Headers],[PMT NO]])-2)+DAY(LoanStartDate),"")</f>
        <v>46419</v>
      </c>
      <c r="D39" s="6">
        <f>IF(PaymentSchedule[[#This Row],[PMT NO]]&lt;&gt;"",IF(ROW()-ROW(PaymentSchedule[[#Headers],[BEGINNING BALANCE]])=1,LoanAmount,INDEX(PaymentSchedule[ENDING BALANCE],ROW()-ROW(PaymentSchedule[[#Headers],[BEGINNING BALANCE]])-1)),"")</f>
        <v>138280.78360281259</v>
      </c>
      <c r="E39" s="6">
        <f>IF(PaymentSchedule[[#This Row],[PMT NO]]&lt;&gt;"",ScheduledPayment,"")</f>
        <v>839.37073521385321</v>
      </c>
      <c r="F39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39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39" s="6">
        <f>IF(PaymentSchedule[[#This Row],[PMT NO]]&lt;&gt;"",PaymentSchedule[[#This Row],[TOTAL PAYMENT]]-PaymentSchedule[[#This Row],[INTEREST]],"")</f>
        <v>147.96681719979028</v>
      </c>
      <c r="I39" s="6">
        <f>IF(PaymentSchedule[[#This Row],[PMT NO]]&lt;&gt;"",PaymentSchedule[[#This Row],[BEGINNING BALANCE]]*(InterestRate/PaymentsPerYear),"")</f>
        <v>691.40391801406292</v>
      </c>
      <c r="J39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138132.81678561281</v>
      </c>
      <c r="K39" s="6">
        <f>IF(PaymentSchedule[[#This Row],[PMT NO]]&lt;&gt;"",SUM(INDEX(PaymentSchedule[INTEREST],1,1):PaymentSchedule[[#This Row],[INTEREST]]),"")</f>
        <v>9044.6363433928964</v>
      </c>
    </row>
    <row r="40" spans="2:11" x14ac:dyDescent="0.2">
      <c r="B40" s="4">
        <f>IF(LoanIsGood,IF(ROW()-ROW(PaymentSchedule[[#Headers],[PMT NO]])&gt;ScheduledNumberOfPayments,"",ROW()-ROW(PaymentSchedule[[#Headers],[PMT NO]])),"")</f>
        <v>14</v>
      </c>
      <c r="C40" s="5">
        <f>IF(PaymentSchedule[[#This Row],[PMT NO]]&lt;&gt;"",EOMONTH(LoanStartDate,ROW(PaymentSchedule[[#This Row],[PMT NO]])-ROW(PaymentSchedule[[#Headers],[PMT NO]])-2)+DAY(LoanStartDate),"")</f>
        <v>46447</v>
      </c>
      <c r="D40" s="6">
        <f>IF(PaymentSchedule[[#This Row],[PMT NO]]&lt;&gt;"",IF(ROW()-ROW(PaymentSchedule[[#Headers],[BEGINNING BALANCE]])=1,LoanAmount,INDEX(PaymentSchedule[ENDING BALANCE],ROW()-ROW(PaymentSchedule[[#Headers],[BEGINNING BALANCE]])-1)),"")</f>
        <v>138132.81678561281</v>
      </c>
      <c r="E40" s="6">
        <f>IF(PaymentSchedule[[#This Row],[PMT NO]]&lt;&gt;"",ScheduledPayment,"")</f>
        <v>839.37073521385321</v>
      </c>
      <c r="F40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40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40" s="6">
        <f>IF(PaymentSchedule[[#This Row],[PMT NO]]&lt;&gt;"",PaymentSchedule[[#This Row],[TOTAL PAYMENT]]-PaymentSchedule[[#This Row],[INTEREST]],"")</f>
        <v>148.70665128578912</v>
      </c>
      <c r="I40" s="6">
        <f>IF(PaymentSchedule[[#This Row],[PMT NO]]&lt;&gt;"",PaymentSchedule[[#This Row],[BEGINNING BALANCE]]*(InterestRate/PaymentsPerYear),"")</f>
        <v>690.66408392806409</v>
      </c>
      <c r="J40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137984.11013432703</v>
      </c>
      <c r="K40" s="6">
        <f>IF(PaymentSchedule[[#This Row],[PMT NO]]&lt;&gt;"",SUM(INDEX(PaymentSchedule[INTEREST],1,1):PaymentSchedule[[#This Row],[INTEREST]]),"")</f>
        <v>9735.3004273209608</v>
      </c>
    </row>
    <row r="41" spans="2:11" x14ac:dyDescent="0.2">
      <c r="B41" s="4">
        <f>IF(LoanIsGood,IF(ROW()-ROW(PaymentSchedule[[#Headers],[PMT NO]])&gt;ScheduledNumberOfPayments,"",ROW()-ROW(PaymentSchedule[[#Headers],[PMT NO]])),"")</f>
        <v>15</v>
      </c>
      <c r="C41" s="5">
        <f>IF(PaymentSchedule[[#This Row],[PMT NO]]&lt;&gt;"",EOMONTH(LoanStartDate,ROW(PaymentSchedule[[#This Row],[PMT NO]])-ROW(PaymentSchedule[[#Headers],[PMT NO]])-2)+DAY(LoanStartDate),"")</f>
        <v>46478</v>
      </c>
      <c r="D41" s="6">
        <f>IF(PaymentSchedule[[#This Row],[PMT NO]]&lt;&gt;"",IF(ROW()-ROW(PaymentSchedule[[#Headers],[BEGINNING BALANCE]])=1,LoanAmount,INDEX(PaymentSchedule[ENDING BALANCE],ROW()-ROW(PaymentSchedule[[#Headers],[BEGINNING BALANCE]])-1)),"")</f>
        <v>137984.11013432703</v>
      </c>
      <c r="E41" s="6">
        <f>IF(PaymentSchedule[[#This Row],[PMT NO]]&lt;&gt;"",ScheduledPayment,"")</f>
        <v>839.37073521385321</v>
      </c>
      <c r="F41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41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41" s="6">
        <f>IF(PaymentSchedule[[#This Row],[PMT NO]]&lt;&gt;"",PaymentSchedule[[#This Row],[TOTAL PAYMENT]]-PaymentSchedule[[#This Row],[INTEREST]],"")</f>
        <v>149.45018454221804</v>
      </c>
      <c r="I41" s="6">
        <f>IF(PaymentSchedule[[#This Row],[PMT NO]]&lt;&gt;"",PaymentSchedule[[#This Row],[BEGINNING BALANCE]]*(InterestRate/PaymentsPerYear),"")</f>
        <v>689.92055067163517</v>
      </c>
      <c r="J41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137834.65994978481</v>
      </c>
      <c r="K41" s="6">
        <f>IF(PaymentSchedule[[#This Row],[PMT NO]]&lt;&gt;"",SUM(INDEX(PaymentSchedule[INTEREST],1,1):PaymentSchedule[[#This Row],[INTEREST]]),"")</f>
        <v>10425.220977992596</v>
      </c>
    </row>
    <row r="42" spans="2:11" x14ac:dyDescent="0.2">
      <c r="B42" s="4">
        <f>IF(LoanIsGood,IF(ROW()-ROW(PaymentSchedule[[#Headers],[PMT NO]])&gt;ScheduledNumberOfPayments,"",ROW()-ROW(PaymentSchedule[[#Headers],[PMT NO]])),"")</f>
        <v>16</v>
      </c>
      <c r="C42" s="5">
        <f>IF(PaymentSchedule[[#This Row],[PMT NO]]&lt;&gt;"",EOMONTH(LoanStartDate,ROW(PaymentSchedule[[#This Row],[PMT NO]])-ROW(PaymentSchedule[[#Headers],[PMT NO]])-2)+DAY(LoanStartDate),"")</f>
        <v>46508</v>
      </c>
      <c r="D42" s="6">
        <f>IF(PaymentSchedule[[#This Row],[PMT NO]]&lt;&gt;"",IF(ROW()-ROW(PaymentSchedule[[#Headers],[BEGINNING BALANCE]])=1,LoanAmount,INDEX(PaymentSchedule[ENDING BALANCE],ROW()-ROW(PaymentSchedule[[#Headers],[BEGINNING BALANCE]])-1)),"")</f>
        <v>137834.65994978481</v>
      </c>
      <c r="E42" s="6">
        <f>IF(PaymentSchedule[[#This Row],[PMT NO]]&lt;&gt;"",ScheduledPayment,"")</f>
        <v>839.37073521385321</v>
      </c>
      <c r="F42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42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42" s="6">
        <f>IF(PaymentSchedule[[#This Row],[PMT NO]]&lt;&gt;"",PaymentSchedule[[#This Row],[TOTAL PAYMENT]]-PaymentSchedule[[#This Row],[INTEREST]],"")</f>
        <v>150.19743546492919</v>
      </c>
      <c r="I42" s="6">
        <f>IF(PaymentSchedule[[#This Row],[PMT NO]]&lt;&gt;"",PaymentSchedule[[#This Row],[BEGINNING BALANCE]]*(InterestRate/PaymentsPerYear),"")</f>
        <v>689.17329974892402</v>
      </c>
      <c r="J42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137684.46251431986</v>
      </c>
      <c r="K42" s="6">
        <f>IF(PaymentSchedule[[#This Row],[PMT NO]]&lt;&gt;"",SUM(INDEX(PaymentSchedule[INTEREST],1,1):PaymentSchedule[[#This Row],[INTEREST]]),"")</f>
        <v>11114.39427774152</v>
      </c>
    </row>
    <row r="43" spans="2:11" x14ac:dyDescent="0.2">
      <c r="B43" s="4">
        <f>IF(LoanIsGood,IF(ROW()-ROW(PaymentSchedule[[#Headers],[PMT NO]])&gt;ScheduledNumberOfPayments,"",ROW()-ROW(PaymentSchedule[[#Headers],[PMT NO]])),"")</f>
        <v>17</v>
      </c>
      <c r="C43" s="5">
        <f>IF(PaymentSchedule[[#This Row],[PMT NO]]&lt;&gt;"",EOMONTH(LoanStartDate,ROW(PaymentSchedule[[#This Row],[PMT NO]])-ROW(PaymentSchedule[[#Headers],[PMT NO]])-2)+DAY(LoanStartDate),"")</f>
        <v>46539</v>
      </c>
      <c r="D43" s="6">
        <f>IF(PaymentSchedule[[#This Row],[PMT NO]]&lt;&gt;"",IF(ROW()-ROW(PaymentSchedule[[#Headers],[BEGINNING BALANCE]])=1,LoanAmount,INDEX(PaymentSchedule[ENDING BALANCE],ROW()-ROW(PaymentSchedule[[#Headers],[BEGINNING BALANCE]])-1)),"")</f>
        <v>137684.46251431986</v>
      </c>
      <c r="E43" s="6">
        <f>IF(PaymentSchedule[[#This Row],[PMT NO]]&lt;&gt;"",ScheduledPayment,"")</f>
        <v>839.37073521385321</v>
      </c>
      <c r="F43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43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43" s="6">
        <f>IF(PaymentSchedule[[#This Row],[PMT NO]]&lt;&gt;"",PaymentSchedule[[#This Row],[TOTAL PAYMENT]]-PaymentSchedule[[#This Row],[INTEREST]],"")</f>
        <v>150.94842264225383</v>
      </c>
      <c r="I43" s="6">
        <f>IF(PaymentSchedule[[#This Row],[PMT NO]]&lt;&gt;"",PaymentSchedule[[#This Row],[BEGINNING BALANCE]]*(InterestRate/PaymentsPerYear),"")</f>
        <v>688.42231257159938</v>
      </c>
      <c r="J43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137533.51409167761</v>
      </c>
      <c r="K43" s="6">
        <f>IF(PaymentSchedule[[#This Row],[PMT NO]]&lt;&gt;"",SUM(INDEX(PaymentSchedule[INTEREST],1,1):PaymentSchedule[[#This Row],[INTEREST]]),"")</f>
        <v>11802.816590313119</v>
      </c>
    </row>
    <row r="44" spans="2:11" x14ac:dyDescent="0.2">
      <c r="B44" s="4">
        <f>IF(LoanIsGood,IF(ROW()-ROW(PaymentSchedule[[#Headers],[PMT NO]])&gt;ScheduledNumberOfPayments,"",ROW()-ROW(PaymentSchedule[[#Headers],[PMT NO]])),"")</f>
        <v>18</v>
      </c>
      <c r="C44" s="5">
        <f>IF(PaymentSchedule[[#This Row],[PMT NO]]&lt;&gt;"",EOMONTH(LoanStartDate,ROW(PaymentSchedule[[#This Row],[PMT NO]])-ROW(PaymentSchedule[[#Headers],[PMT NO]])-2)+DAY(LoanStartDate),"")</f>
        <v>46569</v>
      </c>
      <c r="D44" s="6">
        <f>IF(PaymentSchedule[[#This Row],[PMT NO]]&lt;&gt;"",IF(ROW()-ROW(PaymentSchedule[[#Headers],[BEGINNING BALANCE]])=1,LoanAmount,INDEX(PaymentSchedule[ENDING BALANCE],ROW()-ROW(PaymentSchedule[[#Headers],[BEGINNING BALANCE]])-1)),"")</f>
        <v>137533.51409167761</v>
      </c>
      <c r="E44" s="6">
        <f>IF(PaymentSchedule[[#This Row],[PMT NO]]&lt;&gt;"",ScheduledPayment,"")</f>
        <v>839.37073521385321</v>
      </c>
      <c r="F44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44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44" s="6">
        <f>IF(PaymentSchedule[[#This Row],[PMT NO]]&lt;&gt;"",PaymentSchedule[[#This Row],[TOTAL PAYMENT]]-PaymentSchedule[[#This Row],[INTEREST]],"")</f>
        <v>151.70316475546508</v>
      </c>
      <c r="I44" s="6">
        <f>IF(PaymentSchedule[[#This Row],[PMT NO]]&lt;&gt;"",PaymentSchedule[[#This Row],[BEGINNING BALANCE]]*(InterestRate/PaymentsPerYear),"")</f>
        <v>687.66757045838813</v>
      </c>
      <c r="J44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137381.81092692216</v>
      </c>
      <c r="K44" s="6">
        <f>IF(PaymentSchedule[[#This Row],[PMT NO]]&lt;&gt;"",SUM(INDEX(PaymentSchedule[INTEREST],1,1):PaymentSchedule[[#This Row],[INTEREST]]),"")</f>
        <v>12490.484160771508</v>
      </c>
    </row>
    <row r="45" spans="2:11" x14ac:dyDescent="0.2">
      <c r="B45" s="4">
        <f>IF(LoanIsGood,IF(ROW()-ROW(PaymentSchedule[[#Headers],[PMT NO]])&gt;ScheduledNumberOfPayments,"",ROW()-ROW(PaymentSchedule[[#Headers],[PMT NO]])),"")</f>
        <v>19</v>
      </c>
      <c r="C45" s="5">
        <f>IF(PaymentSchedule[[#This Row],[PMT NO]]&lt;&gt;"",EOMONTH(LoanStartDate,ROW(PaymentSchedule[[#This Row],[PMT NO]])-ROW(PaymentSchedule[[#Headers],[PMT NO]])-2)+DAY(LoanStartDate),"")</f>
        <v>46600</v>
      </c>
      <c r="D45" s="6">
        <f>IF(PaymentSchedule[[#This Row],[PMT NO]]&lt;&gt;"",IF(ROW()-ROW(PaymentSchedule[[#Headers],[BEGINNING BALANCE]])=1,LoanAmount,INDEX(PaymentSchedule[ENDING BALANCE],ROW()-ROW(PaymentSchedule[[#Headers],[BEGINNING BALANCE]])-1)),"")</f>
        <v>137381.81092692216</v>
      </c>
      <c r="E45" s="6">
        <f>IF(PaymentSchedule[[#This Row],[PMT NO]]&lt;&gt;"",ScheduledPayment,"")</f>
        <v>839.37073521385321</v>
      </c>
      <c r="F45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45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45" s="6">
        <f>IF(PaymentSchedule[[#This Row],[PMT NO]]&lt;&gt;"",PaymentSchedule[[#This Row],[TOTAL PAYMENT]]-PaymentSchedule[[#This Row],[INTEREST]],"")</f>
        <v>152.4616805792424</v>
      </c>
      <c r="I45" s="6">
        <f>IF(PaymentSchedule[[#This Row],[PMT NO]]&lt;&gt;"",PaymentSchedule[[#This Row],[BEGINNING BALANCE]]*(InterestRate/PaymentsPerYear),"")</f>
        <v>686.90905463461081</v>
      </c>
      <c r="J45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137229.34924634293</v>
      </c>
      <c r="K45" s="6">
        <f>IF(PaymentSchedule[[#This Row],[PMT NO]]&lt;&gt;"",SUM(INDEX(PaymentSchedule[INTEREST],1,1):PaymentSchedule[[#This Row],[INTEREST]]),"")</f>
        <v>13177.393215406119</v>
      </c>
    </row>
    <row r="46" spans="2:11" x14ac:dyDescent="0.2">
      <c r="B46" s="4">
        <f>IF(LoanIsGood,IF(ROW()-ROW(PaymentSchedule[[#Headers],[PMT NO]])&gt;ScheduledNumberOfPayments,"",ROW()-ROW(PaymentSchedule[[#Headers],[PMT NO]])),"")</f>
        <v>20</v>
      </c>
      <c r="C46" s="5">
        <f>IF(PaymentSchedule[[#This Row],[PMT NO]]&lt;&gt;"",EOMONTH(LoanStartDate,ROW(PaymentSchedule[[#This Row],[PMT NO]])-ROW(PaymentSchedule[[#Headers],[PMT NO]])-2)+DAY(LoanStartDate),"")</f>
        <v>46631</v>
      </c>
      <c r="D46" s="6">
        <f>IF(PaymentSchedule[[#This Row],[PMT NO]]&lt;&gt;"",IF(ROW()-ROW(PaymentSchedule[[#Headers],[BEGINNING BALANCE]])=1,LoanAmount,INDEX(PaymentSchedule[ENDING BALANCE],ROW()-ROW(PaymentSchedule[[#Headers],[BEGINNING BALANCE]])-1)),"")</f>
        <v>137229.34924634293</v>
      </c>
      <c r="E46" s="6">
        <f>IF(PaymentSchedule[[#This Row],[PMT NO]]&lt;&gt;"",ScheduledPayment,"")</f>
        <v>839.37073521385321</v>
      </c>
      <c r="F46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46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46" s="6">
        <f>IF(PaymentSchedule[[#This Row],[PMT NO]]&lt;&gt;"",PaymentSchedule[[#This Row],[TOTAL PAYMENT]]-PaymentSchedule[[#This Row],[INTEREST]],"")</f>
        <v>153.22398898213851</v>
      </c>
      <c r="I46" s="6">
        <f>IF(PaymentSchedule[[#This Row],[PMT NO]]&lt;&gt;"",PaymentSchedule[[#This Row],[BEGINNING BALANCE]]*(InterestRate/PaymentsPerYear),"")</f>
        <v>686.1467462317147</v>
      </c>
      <c r="J46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137076.12525736078</v>
      </c>
      <c r="K46" s="6">
        <f>IF(PaymentSchedule[[#This Row],[PMT NO]]&lt;&gt;"",SUM(INDEX(PaymentSchedule[INTEREST],1,1):PaymentSchedule[[#This Row],[INTEREST]]),"")</f>
        <v>13863.539961637833</v>
      </c>
    </row>
    <row r="47" spans="2:11" x14ac:dyDescent="0.2">
      <c r="B47" s="4">
        <f>IF(LoanIsGood,IF(ROW()-ROW(PaymentSchedule[[#Headers],[PMT NO]])&gt;ScheduledNumberOfPayments,"",ROW()-ROW(PaymentSchedule[[#Headers],[PMT NO]])),"")</f>
        <v>21</v>
      </c>
      <c r="C47" s="5">
        <f>IF(PaymentSchedule[[#This Row],[PMT NO]]&lt;&gt;"",EOMONTH(LoanStartDate,ROW(PaymentSchedule[[#This Row],[PMT NO]])-ROW(PaymentSchedule[[#Headers],[PMT NO]])-2)+DAY(LoanStartDate),"")</f>
        <v>46661</v>
      </c>
      <c r="D47" s="6">
        <f>IF(PaymentSchedule[[#This Row],[PMT NO]]&lt;&gt;"",IF(ROW()-ROW(PaymentSchedule[[#Headers],[BEGINNING BALANCE]])=1,LoanAmount,INDEX(PaymentSchedule[ENDING BALANCE],ROW()-ROW(PaymentSchedule[[#Headers],[BEGINNING BALANCE]])-1)),"")</f>
        <v>137076.12525736078</v>
      </c>
      <c r="E47" s="6">
        <f>IF(PaymentSchedule[[#This Row],[PMT NO]]&lt;&gt;"",ScheduledPayment,"")</f>
        <v>839.37073521385321</v>
      </c>
      <c r="F47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47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47" s="6">
        <f>IF(PaymentSchedule[[#This Row],[PMT NO]]&lt;&gt;"",PaymentSchedule[[#This Row],[TOTAL PAYMENT]]-PaymentSchedule[[#This Row],[INTEREST]],"")</f>
        <v>153.99010892704928</v>
      </c>
      <c r="I47" s="6">
        <f>IF(PaymentSchedule[[#This Row],[PMT NO]]&lt;&gt;"",PaymentSchedule[[#This Row],[BEGINNING BALANCE]]*(InterestRate/PaymentsPerYear),"")</f>
        <v>685.38062628680393</v>
      </c>
      <c r="J47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136922.13514843374</v>
      </c>
      <c r="K47" s="6">
        <f>IF(PaymentSchedule[[#This Row],[PMT NO]]&lt;&gt;"",SUM(INDEX(PaymentSchedule[INTEREST],1,1):PaymentSchedule[[#This Row],[INTEREST]]),"")</f>
        <v>14548.920587924636</v>
      </c>
    </row>
    <row r="48" spans="2:11" x14ac:dyDescent="0.2">
      <c r="B48" s="4">
        <f>IF(LoanIsGood,IF(ROW()-ROW(PaymentSchedule[[#Headers],[PMT NO]])&gt;ScheduledNumberOfPayments,"",ROW()-ROW(PaymentSchedule[[#Headers],[PMT NO]])),"")</f>
        <v>22</v>
      </c>
      <c r="C48" s="5">
        <f>IF(PaymentSchedule[[#This Row],[PMT NO]]&lt;&gt;"",EOMONTH(LoanStartDate,ROW(PaymentSchedule[[#This Row],[PMT NO]])-ROW(PaymentSchedule[[#Headers],[PMT NO]])-2)+DAY(LoanStartDate),"")</f>
        <v>46692</v>
      </c>
      <c r="D48" s="6">
        <f>IF(PaymentSchedule[[#This Row],[PMT NO]]&lt;&gt;"",IF(ROW()-ROW(PaymentSchedule[[#Headers],[BEGINNING BALANCE]])=1,LoanAmount,INDEX(PaymentSchedule[ENDING BALANCE],ROW()-ROW(PaymentSchedule[[#Headers],[BEGINNING BALANCE]])-1)),"")</f>
        <v>136922.13514843374</v>
      </c>
      <c r="E48" s="6">
        <f>IF(PaymentSchedule[[#This Row],[PMT NO]]&lt;&gt;"",ScheduledPayment,"")</f>
        <v>839.37073521385321</v>
      </c>
      <c r="F48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48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48" s="6">
        <f>IF(PaymentSchedule[[#This Row],[PMT NO]]&lt;&gt;"",PaymentSchedule[[#This Row],[TOTAL PAYMENT]]-PaymentSchedule[[#This Row],[INTEREST]],"")</f>
        <v>154.76005947168449</v>
      </c>
      <c r="I48" s="6">
        <f>IF(PaymentSchedule[[#This Row],[PMT NO]]&lt;&gt;"",PaymentSchedule[[#This Row],[BEGINNING BALANCE]]*(InterestRate/PaymentsPerYear),"")</f>
        <v>684.61067574216872</v>
      </c>
      <c r="J48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136767.37508896206</v>
      </c>
      <c r="K48" s="6">
        <f>IF(PaymentSchedule[[#This Row],[PMT NO]]&lt;&gt;"",SUM(INDEX(PaymentSchedule[INTEREST],1,1):PaymentSchedule[[#This Row],[INTEREST]]),"")</f>
        <v>15233.531263666806</v>
      </c>
    </row>
    <row r="49" spans="2:11" x14ac:dyDescent="0.2">
      <c r="B49" s="4">
        <f>IF(LoanIsGood,IF(ROW()-ROW(PaymentSchedule[[#Headers],[PMT NO]])&gt;ScheduledNumberOfPayments,"",ROW()-ROW(PaymentSchedule[[#Headers],[PMT NO]])),"")</f>
        <v>23</v>
      </c>
      <c r="C49" s="5">
        <f>IF(PaymentSchedule[[#This Row],[PMT NO]]&lt;&gt;"",EOMONTH(LoanStartDate,ROW(PaymentSchedule[[#This Row],[PMT NO]])-ROW(PaymentSchedule[[#Headers],[PMT NO]])-2)+DAY(LoanStartDate),"")</f>
        <v>46722</v>
      </c>
      <c r="D49" s="6">
        <f>IF(PaymentSchedule[[#This Row],[PMT NO]]&lt;&gt;"",IF(ROW()-ROW(PaymentSchedule[[#Headers],[BEGINNING BALANCE]])=1,LoanAmount,INDEX(PaymentSchedule[ENDING BALANCE],ROW()-ROW(PaymentSchedule[[#Headers],[BEGINNING BALANCE]])-1)),"")</f>
        <v>136767.37508896206</v>
      </c>
      <c r="E49" s="6">
        <f>IF(PaymentSchedule[[#This Row],[PMT NO]]&lt;&gt;"",ScheduledPayment,"")</f>
        <v>839.37073521385321</v>
      </c>
      <c r="F49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49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49" s="6">
        <f>IF(PaymentSchedule[[#This Row],[PMT NO]]&lt;&gt;"",PaymentSchedule[[#This Row],[TOTAL PAYMENT]]-PaymentSchedule[[#This Row],[INTEREST]],"")</f>
        <v>155.53385976904292</v>
      </c>
      <c r="I49" s="6">
        <f>IF(PaymentSchedule[[#This Row],[PMT NO]]&lt;&gt;"",PaymentSchedule[[#This Row],[BEGINNING BALANCE]]*(InterestRate/PaymentsPerYear),"")</f>
        <v>683.83687544481029</v>
      </c>
      <c r="J49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136611.841229193</v>
      </c>
      <c r="K49" s="6">
        <f>IF(PaymentSchedule[[#This Row],[PMT NO]]&lt;&gt;"",SUM(INDEX(PaymentSchedule[INTEREST],1,1):PaymentSchedule[[#This Row],[INTEREST]]),"")</f>
        <v>15917.368139111617</v>
      </c>
    </row>
    <row r="50" spans="2:11" x14ac:dyDescent="0.2">
      <c r="B50" s="4">
        <f>IF(LoanIsGood,IF(ROW()-ROW(PaymentSchedule[[#Headers],[PMT NO]])&gt;ScheduledNumberOfPayments,"",ROW()-ROW(PaymentSchedule[[#Headers],[PMT NO]])),"")</f>
        <v>24</v>
      </c>
      <c r="C50" s="5">
        <f>IF(PaymentSchedule[[#This Row],[PMT NO]]&lt;&gt;"",EOMONTH(LoanStartDate,ROW(PaymentSchedule[[#This Row],[PMT NO]])-ROW(PaymentSchedule[[#Headers],[PMT NO]])-2)+DAY(LoanStartDate),"")</f>
        <v>46753</v>
      </c>
      <c r="D50" s="6">
        <f>IF(PaymentSchedule[[#This Row],[PMT NO]]&lt;&gt;"",IF(ROW()-ROW(PaymentSchedule[[#Headers],[BEGINNING BALANCE]])=1,LoanAmount,INDEX(PaymentSchedule[ENDING BALANCE],ROW()-ROW(PaymentSchedule[[#Headers],[BEGINNING BALANCE]])-1)),"")</f>
        <v>136611.841229193</v>
      </c>
      <c r="E50" s="6">
        <f>IF(PaymentSchedule[[#This Row],[PMT NO]]&lt;&gt;"",ScheduledPayment,"")</f>
        <v>839.37073521385321</v>
      </c>
      <c r="F50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50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50" s="6">
        <f>IF(PaymentSchedule[[#This Row],[PMT NO]]&lt;&gt;"",PaymentSchedule[[#This Row],[TOTAL PAYMENT]]-PaymentSchedule[[#This Row],[INTEREST]],"")</f>
        <v>156.31152906788816</v>
      </c>
      <c r="I50" s="6">
        <f>IF(PaymentSchedule[[#This Row],[PMT NO]]&lt;&gt;"",PaymentSchedule[[#This Row],[BEGINNING BALANCE]]*(InterestRate/PaymentsPerYear),"")</f>
        <v>683.05920614596505</v>
      </c>
      <c r="J50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136455.5297001251</v>
      </c>
      <c r="K50" s="6">
        <f>IF(PaymentSchedule[[#This Row],[PMT NO]]&lt;&gt;"",SUM(INDEX(PaymentSchedule[INTEREST],1,1):PaymentSchedule[[#This Row],[INTEREST]]),"")</f>
        <v>16600.427345257584</v>
      </c>
    </row>
    <row r="51" spans="2:11" x14ac:dyDescent="0.2">
      <c r="B51" s="4">
        <f>IF(LoanIsGood,IF(ROW()-ROW(PaymentSchedule[[#Headers],[PMT NO]])&gt;ScheduledNumberOfPayments,"",ROW()-ROW(PaymentSchedule[[#Headers],[PMT NO]])),"")</f>
        <v>25</v>
      </c>
      <c r="C51" s="5">
        <f>IF(PaymentSchedule[[#This Row],[PMT NO]]&lt;&gt;"",EOMONTH(LoanStartDate,ROW(PaymentSchedule[[#This Row],[PMT NO]])-ROW(PaymentSchedule[[#Headers],[PMT NO]])-2)+DAY(LoanStartDate),"")</f>
        <v>46784</v>
      </c>
      <c r="D51" s="6">
        <f>IF(PaymentSchedule[[#This Row],[PMT NO]]&lt;&gt;"",IF(ROW()-ROW(PaymentSchedule[[#Headers],[BEGINNING BALANCE]])=1,LoanAmount,INDEX(PaymentSchedule[ENDING BALANCE],ROW()-ROW(PaymentSchedule[[#Headers],[BEGINNING BALANCE]])-1)),"")</f>
        <v>136455.5297001251</v>
      </c>
      <c r="E51" s="6">
        <f>IF(PaymentSchedule[[#This Row],[PMT NO]]&lt;&gt;"",ScheduledPayment,"")</f>
        <v>839.37073521385321</v>
      </c>
      <c r="F51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51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51" s="6">
        <f>IF(PaymentSchedule[[#This Row],[PMT NO]]&lt;&gt;"",PaymentSchedule[[#This Row],[TOTAL PAYMENT]]-PaymentSchedule[[#This Row],[INTEREST]],"")</f>
        <v>157.09308671322765</v>
      </c>
      <c r="I51" s="6">
        <f>IF(PaymentSchedule[[#This Row],[PMT NO]]&lt;&gt;"",PaymentSchedule[[#This Row],[BEGINNING BALANCE]]*(InterestRate/PaymentsPerYear),"")</f>
        <v>682.27764850062556</v>
      </c>
      <c r="J51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136298.43661341188</v>
      </c>
      <c r="K51" s="6">
        <f>IF(PaymentSchedule[[#This Row],[PMT NO]]&lt;&gt;"",SUM(INDEX(PaymentSchedule[INTEREST],1,1):PaymentSchedule[[#This Row],[INTEREST]]),"")</f>
        <v>17282.704993758209</v>
      </c>
    </row>
    <row r="52" spans="2:11" x14ac:dyDescent="0.2">
      <c r="B52" s="4">
        <f>IF(LoanIsGood,IF(ROW()-ROW(PaymentSchedule[[#Headers],[PMT NO]])&gt;ScheduledNumberOfPayments,"",ROW()-ROW(PaymentSchedule[[#Headers],[PMT NO]])),"")</f>
        <v>26</v>
      </c>
      <c r="C52" s="5">
        <f>IF(PaymentSchedule[[#This Row],[PMT NO]]&lt;&gt;"",EOMONTH(LoanStartDate,ROW(PaymentSchedule[[#This Row],[PMT NO]])-ROW(PaymentSchedule[[#Headers],[PMT NO]])-2)+DAY(LoanStartDate),"")</f>
        <v>46813</v>
      </c>
      <c r="D52" s="6">
        <f>IF(PaymentSchedule[[#This Row],[PMT NO]]&lt;&gt;"",IF(ROW()-ROW(PaymentSchedule[[#Headers],[BEGINNING BALANCE]])=1,LoanAmount,INDEX(PaymentSchedule[ENDING BALANCE],ROW()-ROW(PaymentSchedule[[#Headers],[BEGINNING BALANCE]])-1)),"")</f>
        <v>136298.43661341188</v>
      </c>
      <c r="E52" s="6">
        <f>IF(PaymentSchedule[[#This Row],[PMT NO]]&lt;&gt;"",ScheduledPayment,"")</f>
        <v>839.37073521385321</v>
      </c>
      <c r="F52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52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52" s="6">
        <f>IF(PaymentSchedule[[#This Row],[PMT NO]]&lt;&gt;"",PaymentSchedule[[#This Row],[TOTAL PAYMENT]]-PaymentSchedule[[#This Row],[INTEREST]],"")</f>
        <v>157.87855214679382</v>
      </c>
      <c r="I52" s="6">
        <f>IF(PaymentSchedule[[#This Row],[PMT NO]]&lt;&gt;"",PaymentSchedule[[#This Row],[BEGINNING BALANCE]]*(InterestRate/PaymentsPerYear),"")</f>
        <v>681.49218306705939</v>
      </c>
      <c r="J52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136140.5580612651</v>
      </c>
      <c r="K52" s="6">
        <f>IF(PaymentSchedule[[#This Row],[PMT NO]]&lt;&gt;"",SUM(INDEX(PaymentSchedule[INTEREST],1,1):PaymentSchedule[[#This Row],[INTEREST]]),"")</f>
        <v>17964.19717682527</v>
      </c>
    </row>
    <row r="53" spans="2:11" x14ac:dyDescent="0.2">
      <c r="B53" s="4">
        <f>IF(LoanIsGood,IF(ROW()-ROW(PaymentSchedule[[#Headers],[PMT NO]])&gt;ScheduledNumberOfPayments,"",ROW()-ROW(PaymentSchedule[[#Headers],[PMT NO]])),"")</f>
        <v>27</v>
      </c>
      <c r="C53" s="5">
        <f>IF(PaymentSchedule[[#This Row],[PMT NO]]&lt;&gt;"",EOMONTH(LoanStartDate,ROW(PaymentSchedule[[#This Row],[PMT NO]])-ROW(PaymentSchedule[[#Headers],[PMT NO]])-2)+DAY(LoanStartDate),"")</f>
        <v>46844</v>
      </c>
      <c r="D53" s="6">
        <f>IF(PaymentSchedule[[#This Row],[PMT NO]]&lt;&gt;"",IF(ROW()-ROW(PaymentSchedule[[#Headers],[BEGINNING BALANCE]])=1,LoanAmount,INDEX(PaymentSchedule[ENDING BALANCE],ROW()-ROW(PaymentSchedule[[#Headers],[BEGINNING BALANCE]])-1)),"")</f>
        <v>136140.5580612651</v>
      </c>
      <c r="E53" s="6">
        <f>IF(PaymentSchedule[[#This Row],[PMT NO]]&lt;&gt;"",ScheduledPayment,"")</f>
        <v>839.37073521385321</v>
      </c>
      <c r="F53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53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53" s="6">
        <f>IF(PaymentSchedule[[#This Row],[PMT NO]]&lt;&gt;"",PaymentSchedule[[#This Row],[TOTAL PAYMENT]]-PaymentSchedule[[#This Row],[INTEREST]],"")</f>
        <v>158.66794490752773</v>
      </c>
      <c r="I53" s="6">
        <f>IF(PaymentSchedule[[#This Row],[PMT NO]]&lt;&gt;"",PaymentSchedule[[#This Row],[BEGINNING BALANCE]]*(InterestRate/PaymentsPerYear),"")</f>
        <v>680.70279030632548</v>
      </c>
      <c r="J53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135981.89011635756</v>
      </c>
      <c r="K53" s="6">
        <f>IF(PaymentSchedule[[#This Row],[PMT NO]]&lt;&gt;"",SUM(INDEX(PaymentSchedule[INTEREST],1,1):PaymentSchedule[[#This Row],[INTEREST]]),"")</f>
        <v>18644.899967131594</v>
      </c>
    </row>
    <row r="54" spans="2:11" x14ac:dyDescent="0.2">
      <c r="B54" s="4">
        <f>IF(LoanIsGood,IF(ROW()-ROW(PaymentSchedule[[#Headers],[PMT NO]])&gt;ScheduledNumberOfPayments,"",ROW()-ROW(PaymentSchedule[[#Headers],[PMT NO]])),"")</f>
        <v>28</v>
      </c>
      <c r="C54" s="5">
        <f>IF(PaymentSchedule[[#This Row],[PMT NO]]&lt;&gt;"",EOMONTH(LoanStartDate,ROW(PaymentSchedule[[#This Row],[PMT NO]])-ROW(PaymentSchedule[[#Headers],[PMT NO]])-2)+DAY(LoanStartDate),"")</f>
        <v>46874</v>
      </c>
      <c r="D54" s="6">
        <f>IF(PaymentSchedule[[#This Row],[PMT NO]]&lt;&gt;"",IF(ROW()-ROW(PaymentSchedule[[#Headers],[BEGINNING BALANCE]])=1,LoanAmount,INDEX(PaymentSchedule[ENDING BALANCE],ROW()-ROW(PaymentSchedule[[#Headers],[BEGINNING BALANCE]])-1)),"")</f>
        <v>135981.89011635756</v>
      </c>
      <c r="E54" s="6">
        <f>IF(PaymentSchedule[[#This Row],[PMT NO]]&lt;&gt;"",ScheduledPayment,"")</f>
        <v>839.37073521385321</v>
      </c>
      <c r="F54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54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54" s="6">
        <f>IF(PaymentSchedule[[#This Row],[PMT NO]]&lt;&gt;"",PaymentSchedule[[#This Row],[TOTAL PAYMENT]]-PaymentSchedule[[#This Row],[INTEREST]],"")</f>
        <v>159.46128463206537</v>
      </c>
      <c r="I54" s="6">
        <f>IF(PaymentSchedule[[#This Row],[PMT NO]]&lt;&gt;"",PaymentSchedule[[#This Row],[BEGINNING BALANCE]]*(InterestRate/PaymentsPerYear),"")</f>
        <v>679.90945058178784</v>
      </c>
      <c r="J54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135822.4288317255</v>
      </c>
      <c r="K54" s="6">
        <f>IF(PaymentSchedule[[#This Row],[PMT NO]]&lt;&gt;"",SUM(INDEX(PaymentSchedule[INTEREST],1,1):PaymentSchedule[[#This Row],[INTEREST]]),"")</f>
        <v>19324.809417713383</v>
      </c>
    </row>
    <row r="55" spans="2:11" x14ac:dyDescent="0.2">
      <c r="B55" s="4">
        <f>IF(LoanIsGood,IF(ROW()-ROW(PaymentSchedule[[#Headers],[PMT NO]])&gt;ScheduledNumberOfPayments,"",ROW()-ROW(PaymentSchedule[[#Headers],[PMT NO]])),"")</f>
        <v>29</v>
      </c>
      <c r="C55" s="5">
        <f>IF(PaymentSchedule[[#This Row],[PMT NO]]&lt;&gt;"",EOMONTH(LoanStartDate,ROW(PaymentSchedule[[#This Row],[PMT NO]])-ROW(PaymentSchedule[[#Headers],[PMT NO]])-2)+DAY(LoanStartDate),"")</f>
        <v>46905</v>
      </c>
      <c r="D55" s="6">
        <f>IF(PaymentSchedule[[#This Row],[PMT NO]]&lt;&gt;"",IF(ROW()-ROW(PaymentSchedule[[#Headers],[BEGINNING BALANCE]])=1,LoanAmount,INDEX(PaymentSchedule[ENDING BALANCE],ROW()-ROW(PaymentSchedule[[#Headers],[BEGINNING BALANCE]])-1)),"")</f>
        <v>135822.4288317255</v>
      </c>
      <c r="E55" s="6">
        <f>IF(PaymentSchedule[[#This Row],[PMT NO]]&lt;&gt;"",ScheduledPayment,"")</f>
        <v>839.37073521385321</v>
      </c>
      <c r="F55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55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55" s="6">
        <f>IF(PaymentSchedule[[#This Row],[PMT NO]]&lt;&gt;"",PaymentSchedule[[#This Row],[TOTAL PAYMENT]]-PaymentSchedule[[#This Row],[INTEREST]],"")</f>
        <v>160.25859105522568</v>
      </c>
      <c r="I55" s="6">
        <f>IF(PaymentSchedule[[#This Row],[PMT NO]]&lt;&gt;"",PaymentSchedule[[#This Row],[BEGINNING BALANCE]]*(InterestRate/PaymentsPerYear),"")</f>
        <v>679.11214415862753</v>
      </c>
      <c r="J55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135662.17024067027</v>
      </c>
      <c r="K55" s="6">
        <f>IF(PaymentSchedule[[#This Row],[PMT NO]]&lt;&gt;"",SUM(INDEX(PaymentSchedule[INTEREST],1,1):PaymentSchedule[[#This Row],[INTEREST]]),"")</f>
        <v>20003.921561872012</v>
      </c>
    </row>
    <row r="56" spans="2:11" x14ac:dyDescent="0.2">
      <c r="B56" s="4">
        <f>IF(LoanIsGood,IF(ROW()-ROW(PaymentSchedule[[#Headers],[PMT NO]])&gt;ScheduledNumberOfPayments,"",ROW()-ROW(PaymentSchedule[[#Headers],[PMT NO]])),"")</f>
        <v>30</v>
      </c>
      <c r="C56" s="5">
        <f>IF(PaymentSchedule[[#This Row],[PMT NO]]&lt;&gt;"",EOMONTH(LoanStartDate,ROW(PaymentSchedule[[#This Row],[PMT NO]])-ROW(PaymentSchedule[[#Headers],[PMT NO]])-2)+DAY(LoanStartDate),"")</f>
        <v>46935</v>
      </c>
      <c r="D56" s="6">
        <f>IF(PaymentSchedule[[#This Row],[PMT NO]]&lt;&gt;"",IF(ROW()-ROW(PaymentSchedule[[#Headers],[BEGINNING BALANCE]])=1,LoanAmount,INDEX(PaymentSchedule[ENDING BALANCE],ROW()-ROW(PaymentSchedule[[#Headers],[BEGINNING BALANCE]])-1)),"")</f>
        <v>135662.17024067027</v>
      </c>
      <c r="E56" s="6">
        <f>IF(PaymentSchedule[[#This Row],[PMT NO]]&lt;&gt;"",ScheduledPayment,"")</f>
        <v>839.37073521385321</v>
      </c>
      <c r="F56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56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56" s="6">
        <f>IF(PaymentSchedule[[#This Row],[PMT NO]]&lt;&gt;"",PaymentSchedule[[#This Row],[TOTAL PAYMENT]]-PaymentSchedule[[#This Row],[INTEREST]],"")</f>
        <v>161.05988401050183</v>
      </c>
      <c r="I56" s="6">
        <f>IF(PaymentSchedule[[#This Row],[PMT NO]]&lt;&gt;"",PaymentSchedule[[#This Row],[BEGINNING BALANCE]]*(InterestRate/PaymentsPerYear),"")</f>
        <v>678.31085120335138</v>
      </c>
      <c r="J56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135501.11035665977</v>
      </c>
      <c r="K56" s="6">
        <f>IF(PaymentSchedule[[#This Row],[PMT NO]]&lt;&gt;"",SUM(INDEX(PaymentSchedule[INTEREST],1,1):PaymentSchedule[[#This Row],[INTEREST]]),"")</f>
        <v>20682.232413075362</v>
      </c>
    </row>
    <row r="57" spans="2:11" x14ac:dyDescent="0.2">
      <c r="B57" s="4">
        <f>IF(LoanIsGood,IF(ROW()-ROW(PaymentSchedule[[#Headers],[PMT NO]])&gt;ScheduledNumberOfPayments,"",ROW()-ROW(PaymentSchedule[[#Headers],[PMT NO]])),"")</f>
        <v>31</v>
      </c>
      <c r="C57" s="5">
        <f>IF(PaymentSchedule[[#This Row],[PMT NO]]&lt;&gt;"",EOMONTH(LoanStartDate,ROW(PaymentSchedule[[#This Row],[PMT NO]])-ROW(PaymentSchedule[[#Headers],[PMT NO]])-2)+DAY(LoanStartDate),"")</f>
        <v>46966</v>
      </c>
      <c r="D57" s="6">
        <f>IF(PaymentSchedule[[#This Row],[PMT NO]]&lt;&gt;"",IF(ROW()-ROW(PaymentSchedule[[#Headers],[BEGINNING BALANCE]])=1,LoanAmount,INDEX(PaymentSchedule[ENDING BALANCE],ROW()-ROW(PaymentSchedule[[#Headers],[BEGINNING BALANCE]])-1)),"")</f>
        <v>135501.11035665977</v>
      </c>
      <c r="E57" s="6">
        <f>IF(PaymentSchedule[[#This Row],[PMT NO]]&lt;&gt;"",ScheduledPayment,"")</f>
        <v>839.37073521385321</v>
      </c>
      <c r="F57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57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57" s="6">
        <f>IF(PaymentSchedule[[#This Row],[PMT NO]]&lt;&gt;"",PaymentSchedule[[#This Row],[TOTAL PAYMENT]]-PaymentSchedule[[#This Row],[INTEREST]],"")</f>
        <v>161.86518343055434</v>
      </c>
      <c r="I57" s="6">
        <f>IF(PaymentSchedule[[#This Row],[PMT NO]]&lt;&gt;"",PaymentSchedule[[#This Row],[BEGINNING BALANCE]]*(InterestRate/PaymentsPerYear),"")</f>
        <v>677.50555178329887</v>
      </c>
      <c r="J57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135339.24517322922</v>
      </c>
      <c r="K57" s="6">
        <f>IF(PaymentSchedule[[#This Row],[PMT NO]]&lt;&gt;"",SUM(INDEX(PaymentSchedule[INTEREST],1,1):PaymentSchedule[[#This Row],[INTEREST]]),"")</f>
        <v>21359.737964858661</v>
      </c>
    </row>
    <row r="58" spans="2:11" x14ac:dyDescent="0.2">
      <c r="B58" s="4">
        <f>IF(LoanIsGood,IF(ROW()-ROW(PaymentSchedule[[#Headers],[PMT NO]])&gt;ScheduledNumberOfPayments,"",ROW()-ROW(PaymentSchedule[[#Headers],[PMT NO]])),"")</f>
        <v>32</v>
      </c>
      <c r="C58" s="5">
        <f>IF(PaymentSchedule[[#This Row],[PMT NO]]&lt;&gt;"",EOMONTH(LoanStartDate,ROW(PaymentSchedule[[#This Row],[PMT NO]])-ROW(PaymentSchedule[[#Headers],[PMT NO]])-2)+DAY(LoanStartDate),"")</f>
        <v>46997</v>
      </c>
      <c r="D58" s="6">
        <f>IF(PaymentSchedule[[#This Row],[PMT NO]]&lt;&gt;"",IF(ROW()-ROW(PaymentSchedule[[#Headers],[BEGINNING BALANCE]])=1,LoanAmount,INDEX(PaymentSchedule[ENDING BALANCE],ROW()-ROW(PaymentSchedule[[#Headers],[BEGINNING BALANCE]])-1)),"")</f>
        <v>135339.24517322922</v>
      </c>
      <c r="E58" s="6">
        <f>IF(PaymentSchedule[[#This Row],[PMT NO]]&lt;&gt;"",ScheduledPayment,"")</f>
        <v>839.37073521385321</v>
      </c>
      <c r="F58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58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58" s="6">
        <f>IF(PaymentSchedule[[#This Row],[PMT NO]]&lt;&gt;"",PaymentSchedule[[#This Row],[TOTAL PAYMENT]]-PaymentSchedule[[#This Row],[INTEREST]],"")</f>
        <v>162.67450934770704</v>
      </c>
      <c r="I58" s="6">
        <f>IF(PaymentSchedule[[#This Row],[PMT NO]]&lt;&gt;"",PaymentSchedule[[#This Row],[BEGINNING BALANCE]]*(InterestRate/PaymentsPerYear),"")</f>
        <v>676.69622586614616</v>
      </c>
      <c r="J58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135176.57066388152</v>
      </c>
      <c r="K58" s="6">
        <f>IF(PaymentSchedule[[#This Row],[PMT NO]]&lt;&gt;"",SUM(INDEX(PaymentSchedule[INTEREST],1,1):PaymentSchedule[[#This Row],[INTEREST]]),"")</f>
        <v>22036.434190724809</v>
      </c>
    </row>
    <row r="59" spans="2:11" x14ac:dyDescent="0.2">
      <c r="B59" s="4">
        <f>IF(LoanIsGood,IF(ROW()-ROW(PaymentSchedule[[#Headers],[PMT NO]])&gt;ScheduledNumberOfPayments,"",ROW()-ROW(PaymentSchedule[[#Headers],[PMT NO]])),"")</f>
        <v>33</v>
      </c>
      <c r="C59" s="5">
        <f>IF(PaymentSchedule[[#This Row],[PMT NO]]&lt;&gt;"",EOMONTH(LoanStartDate,ROW(PaymentSchedule[[#This Row],[PMT NO]])-ROW(PaymentSchedule[[#Headers],[PMT NO]])-2)+DAY(LoanStartDate),"")</f>
        <v>47027</v>
      </c>
      <c r="D59" s="6">
        <f>IF(PaymentSchedule[[#This Row],[PMT NO]]&lt;&gt;"",IF(ROW()-ROW(PaymentSchedule[[#Headers],[BEGINNING BALANCE]])=1,LoanAmount,INDEX(PaymentSchedule[ENDING BALANCE],ROW()-ROW(PaymentSchedule[[#Headers],[BEGINNING BALANCE]])-1)),"")</f>
        <v>135176.57066388152</v>
      </c>
      <c r="E59" s="6">
        <f>IF(PaymentSchedule[[#This Row],[PMT NO]]&lt;&gt;"",ScheduledPayment,"")</f>
        <v>839.37073521385321</v>
      </c>
      <c r="F59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59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59" s="6">
        <f>IF(PaymentSchedule[[#This Row],[PMT NO]]&lt;&gt;"",PaymentSchedule[[#This Row],[TOTAL PAYMENT]]-PaymentSchedule[[#This Row],[INTEREST]],"")</f>
        <v>163.48788189444565</v>
      </c>
      <c r="I59" s="6">
        <f>IF(PaymentSchedule[[#This Row],[PMT NO]]&lt;&gt;"",PaymentSchedule[[#This Row],[BEGINNING BALANCE]]*(InterestRate/PaymentsPerYear),"")</f>
        <v>675.88285331940756</v>
      </c>
      <c r="J59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135013.08278198706</v>
      </c>
      <c r="K59" s="6">
        <f>IF(PaymentSchedule[[#This Row],[PMT NO]]&lt;&gt;"",SUM(INDEX(PaymentSchedule[INTEREST],1,1):PaymentSchedule[[#This Row],[INTEREST]]),"")</f>
        <v>22712.317044044215</v>
      </c>
    </row>
    <row r="60" spans="2:11" x14ac:dyDescent="0.2">
      <c r="B60" s="4">
        <f>IF(LoanIsGood,IF(ROW()-ROW(PaymentSchedule[[#Headers],[PMT NO]])&gt;ScheduledNumberOfPayments,"",ROW()-ROW(PaymentSchedule[[#Headers],[PMT NO]])),"")</f>
        <v>34</v>
      </c>
      <c r="C60" s="5">
        <f>IF(PaymentSchedule[[#This Row],[PMT NO]]&lt;&gt;"",EOMONTH(LoanStartDate,ROW(PaymentSchedule[[#This Row],[PMT NO]])-ROW(PaymentSchedule[[#Headers],[PMT NO]])-2)+DAY(LoanStartDate),"")</f>
        <v>47058</v>
      </c>
      <c r="D60" s="6">
        <f>IF(PaymentSchedule[[#This Row],[PMT NO]]&lt;&gt;"",IF(ROW()-ROW(PaymentSchedule[[#Headers],[BEGINNING BALANCE]])=1,LoanAmount,INDEX(PaymentSchedule[ENDING BALANCE],ROW()-ROW(PaymentSchedule[[#Headers],[BEGINNING BALANCE]])-1)),"")</f>
        <v>135013.08278198706</v>
      </c>
      <c r="E60" s="6">
        <f>IF(PaymentSchedule[[#This Row],[PMT NO]]&lt;&gt;"",ScheduledPayment,"")</f>
        <v>839.37073521385321</v>
      </c>
      <c r="F60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60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60" s="6">
        <f>IF(PaymentSchedule[[#This Row],[PMT NO]]&lt;&gt;"",PaymentSchedule[[#This Row],[TOTAL PAYMENT]]-PaymentSchedule[[#This Row],[INTEREST]],"")</f>
        <v>164.30532130391794</v>
      </c>
      <c r="I60" s="6">
        <f>IF(PaymentSchedule[[#This Row],[PMT NO]]&lt;&gt;"",PaymentSchedule[[#This Row],[BEGINNING BALANCE]]*(InterestRate/PaymentsPerYear),"")</f>
        <v>675.06541390993527</v>
      </c>
      <c r="J60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134848.77746068314</v>
      </c>
      <c r="K60" s="6">
        <f>IF(PaymentSchedule[[#This Row],[PMT NO]]&lt;&gt;"",SUM(INDEX(PaymentSchedule[INTEREST],1,1):PaymentSchedule[[#This Row],[INTEREST]]),"")</f>
        <v>23387.382457954151</v>
      </c>
    </row>
    <row r="61" spans="2:11" x14ac:dyDescent="0.2">
      <c r="B61" s="4">
        <f>IF(LoanIsGood,IF(ROW()-ROW(PaymentSchedule[[#Headers],[PMT NO]])&gt;ScheduledNumberOfPayments,"",ROW()-ROW(PaymentSchedule[[#Headers],[PMT NO]])),"")</f>
        <v>35</v>
      </c>
      <c r="C61" s="5">
        <f>IF(PaymentSchedule[[#This Row],[PMT NO]]&lt;&gt;"",EOMONTH(LoanStartDate,ROW(PaymentSchedule[[#This Row],[PMT NO]])-ROW(PaymentSchedule[[#Headers],[PMT NO]])-2)+DAY(LoanStartDate),"")</f>
        <v>47088</v>
      </c>
      <c r="D61" s="6">
        <f>IF(PaymentSchedule[[#This Row],[PMT NO]]&lt;&gt;"",IF(ROW()-ROW(PaymentSchedule[[#Headers],[BEGINNING BALANCE]])=1,LoanAmount,INDEX(PaymentSchedule[ENDING BALANCE],ROW()-ROW(PaymentSchedule[[#Headers],[BEGINNING BALANCE]])-1)),"")</f>
        <v>134848.77746068314</v>
      </c>
      <c r="E61" s="6">
        <f>IF(PaymentSchedule[[#This Row],[PMT NO]]&lt;&gt;"",ScheduledPayment,"")</f>
        <v>839.37073521385321</v>
      </c>
      <c r="F61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61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61" s="6">
        <f>IF(PaymentSchedule[[#This Row],[PMT NO]]&lt;&gt;"",PaymentSchedule[[#This Row],[TOTAL PAYMENT]]-PaymentSchedule[[#This Row],[INTEREST]],"")</f>
        <v>165.1268479104375</v>
      </c>
      <c r="I61" s="6">
        <f>IF(PaymentSchedule[[#This Row],[PMT NO]]&lt;&gt;"",PaymentSchedule[[#This Row],[BEGINNING BALANCE]]*(InterestRate/PaymentsPerYear),"")</f>
        <v>674.2438873034157</v>
      </c>
      <c r="J61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134683.6506127727</v>
      </c>
      <c r="K61" s="6">
        <f>IF(PaymentSchedule[[#This Row],[PMT NO]]&lt;&gt;"",SUM(INDEX(PaymentSchedule[INTEREST],1,1):PaymentSchedule[[#This Row],[INTEREST]]),"")</f>
        <v>24061.626345257566</v>
      </c>
    </row>
    <row r="62" spans="2:11" x14ac:dyDescent="0.2">
      <c r="B62" s="4">
        <f>IF(LoanIsGood,IF(ROW()-ROW(PaymentSchedule[[#Headers],[PMT NO]])&gt;ScheduledNumberOfPayments,"",ROW()-ROW(PaymentSchedule[[#Headers],[PMT NO]])),"")</f>
        <v>36</v>
      </c>
      <c r="C62" s="5">
        <f>IF(PaymentSchedule[[#This Row],[PMT NO]]&lt;&gt;"",EOMONTH(LoanStartDate,ROW(PaymentSchedule[[#This Row],[PMT NO]])-ROW(PaymentSchedule[[#Headers],[PMT NO]])-2)+DAY(LoanStartDate),"")</f>
        <v>47119</v>
      </c>
      <c r="D62" s="6">
        <f>IF(PaymentSchedule[[#This Row],[PMT NO]]&lt;&gt;"",IF(ROW()-ROW(PaymentSchedule[[#Headers],[BEGINNING BALANCE]])=1,LoanAmount,INDEX(PaymentSchedule[ENDING BALANCE],ROW()-ROW(PaymentSchedule[[#Headers],[BEGINNING BALANCE]])-1)),"")</f>
        <v>134683.6506127727</v>
      </c>
      <c r="E62" s="6">
        <f>IF(PaymentSchedule[[#This Row],[PMT NO]]&lt;&gt;"",ScheduledPayment,"")</f>
        <v>839.37073521385321</v>
      </c>
      <c r="F62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62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62" s="6">
        <f>IF(PaymentSchedule[[#This Row],[PMT NO]]&lt;&gt;"",PaymentSchedule[[#This Row],[TOTAL PAYMENT]]-PaymentSchedule[[#This Row],[INTEREST]],"")</f>
        <v>165.95248214998969</v>
      </c>
      <c r="I62" s="6">
        <f>IF(PaymentSchedule[[#This Row],[PMT NO]]&lt;&gt;"",PaymentSchedule[[#This Row],[BEGINNING BALANCE]]*(InterestRate/PaymentsPerYear),"")</f>
        <v>673.41825306386352</v>
      </c>
      <c r="J62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134517.69813062271</v>
      </c>
      <c r="K62" s="6">
        <f>IF(PaymentSchedule[[#This Row],[PMT NO]]&lt;&gt;"",SUM(INDEX(PaymentSchedule[INTEREST],1,1):PaymentSchedule[[#This Row],[INTEREST]]),"")</f>
        <v>24735.04459832143</v>
      </c>
    </row>
    <row r="63" spans="2:11" x14ac:dyDescent="0.2">
      <c r="B63" s="4">
        <f>IF(LoanIsGood,IF(ROW()-ROW(PaymentSchedule[[#Headers],[PMT NO]])&gt;ScheduledNumberOfPayments,"",ROW()-ROW(PaymentSchedule[[#Headers],[PMT NO]])),"")</f>
        <v>37</v>
      </c>
      <c r="C63" s="5">
        <f>IF(PaymentSchedule[[#This Row],[PMT NO]]&lt;&gt;"",EOMONTH(LoanStartDate,ROW(PaymentSchedule[[#This Row],[PMT NO]])-ROW(PaymentSchedule[[#Headers],[PMT NO]])-2)+DAY(LoanStartDate),"")</f>
        <v>47150</v>
      </c>
      <c r="D63" s="6">
        <f>IF(PaymentSchedule[[#This Row],[PMT NO]]&lt;&gt;"",IF(ROW()-ROW(PaymentSchedule[[#Headers],[BEGINNING BALANCE]])=1,LoanAmount,INDEX(PaymentSchedule[ENDING BALANCE],ROW()-ROW(PaymentSchedule[[#Headers],[BEGINNING BALANCE]])-1)),"")</f>
        <v>134517.69813062271</v>
      </c>
      <c r="E63" s="6">
        <f>IF(PaymentSchedule[[#This Row],[PMT NO]]&lt;&gt;"",ScheduledPayment,"")</f>
        <v>839.37073521385321</v>
      </c>
      <c r="F63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63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63" s="6">
        <f>IF(PaymentSchedule[[#This Row],[PMT NO]]&lt;&gt;"",PaymentSchedule[[#This Row],[TOTAL PAYMENT]]-PaymentSchedule[[#This Row],[INTEREST]],"")</f>
        <v>166.78224456073963</v>
      </c>
      <c r="I63" s="6">
        <f>IF(PaymentSchedule[[#This Row],[PMT NO]]&lt;&gt;"",PaymentSchedule[[#This Row],[BEGINNING BALANCE]]*(InterestRate/PaymentsPerYear),"")</f>
        <v>672.58849065311358</v>
      </c>
      <c r="J63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134350.91588606196</v>
      </c>
      <c r="K63" s="6">
        <f>IF(PaymentSchedule[[#This Row],[PMT NO]]&lt;&gt;"",SUM(INDEX(PaymentSchedule[INTEREST],1,1):PaymentSchedule[[#This Row],[INTEREST]]),"")</f>
        <v>25407.633088974544</v>
      </c>
    </row>
    <row r="64" spans="2:11" x14ac:dyDescent="0.2">
      <c r="B64" s="4">
        <f>IF(LoanIsGood,IF(ROW()-ROW(PaymentSchedule[[#Headers],[PMT NO]])&gt;ScheduledNumberOfPayments,"",ROW()-ROW(PaymentSchedule[[#Headers],[PMT NO]])),"")</f>
        <v>38</v>
      </c>
      <c r="C64" s="5">
        <f>IF(PaymentSchedule[[#This Row],[PMT NO]]&lt;&gt;"",EOMONTH(LoanStartDate,ROW(PaymentSchedule[[#This Row],[PMT NO]])-ROW(PaymentSchedule[[#Headers],[PMT NO]])-2)+DAY(LoanStartDate),"")</f>
        <v>47178</v>
      </c>
      <c r="D64" s="6">
        <f>IF(PaymentSchedule[[#This Row],[PMT NO]]&lt;&gt;"",IF(ROW()-ROW(PaymentSchedule[[#Headers],[BEGINNING BALANCE]])=1,LoanAmount,INDEX(PaymentSchedule[ENDING BALANCE],ROW()-ROW(PaymentSchedule[[#Headers],[BEGINNING BALANCE]])-1)),"")</f>
        <v>134350.91588606196</v>
      </c>
      <c r="E64" s="6">
        <f>IF(PaymentSchedule[[#This Row],[PMT NO]]&lt;&gt;"",ScheduledPayment,"")</f>
        <v>839.37073521385321</v>
      </c>
      <c r="F64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64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64" s="6">
        <f>IF(PaymentSchedule[[#This Row],[PMT NO]]&lt;&gt;"",PaymentSchedule[[#This Row],[TOTAL PAYMENT]]-PaymentSchedule[[#This Row],[INTEREST]],"")</f>
        <v>167.61615578354338</v>
      </c>
      <c r="I64" s="6">
        <f>IF(PaymentSchedule[[#This Row],[PMT NO]]&lt;&gt;"",PaymentSchedule[[#This Row],[BEGINNING BALANCE]]*(InterestRate/PaymentsPerYear),"")</f>
        <v>671.75457943030983</v>
      </c>
      <c r="J64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134183.29973027844</v>
      </c>
      <c r="K64" s="6">
        <f>IF(PaymentSchedule[[#This Row],[PMT NO]]&lt;&gt;"",SUM(INDEX(PaymentSchedule[INTEREST],1,1):PaymentSchedule[[#This Row],[INTEREST]]),"")</f>
        <v>26079.387668404856</v>
      </c>
    </row>
    <row r="65" spans="2:11" x14ac:dyDescent="0.2">
      <c r="B65" s="4">
        <f>IF(LoanIsGood,IF(ROW()-ROW(PaymentSchedule[[#Headers],[PMT NO]])&gt;ScheduledNumberOfPayments,"",ROW()-ROW(PaymentSchedule[[#Headers],[PMT NO]])),"")</f>
        <v>39</v>
      </c>
      <c r="C65" s="5">
        <f>IF(PaymentSchedule[[#This Row],[PMT NO]]&lt;&gt;"",EOMONTH(LoanStartDate,ROW(PaymentSchedule[[#This Row],[PMT NO]])-ROW(PaymentSchedule[[#Headers],[PMT NO]])-2)+DAY(LoanStartDate),"")</f>
        <v>47209</v>
      </c>
      <c r="D65" s="6">
        <f>IF(PaymentSchedule[[#This Row],[PMT NO]]&lt;&gt;"",IF(ROW()-ROW(PaymentSchedule[[#Headers],[BEGINNING BALANCE]])=1,LoanAmount,INDEX(PaymentSchedule[ENDING BALANCE],ROW()-ROW(PaymentSchedule[[#Headers],[BEGINNING BALANCE]])-1)),"")</f>
        <v>134183.29973027844</v>
      </c>
      <c r="E65" s="6">
        <f>IF(PaymentSchedule[[#This Row],[PMT NO]]&lt;&gt;"",ScheduledPayment,"")</f>
        <v>839.37073521385321</v>
      </c>
      <c r="F65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65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65" s="6">
        <f>IF(PaymentSchedule[[#This Row],[PMT NO]]&lt;&gt;"",PaymentSchedule[[#This Row],[TOTAL PAYMENT]]-PaymentSchedule[[#This Row],[INTEREST]],"")</f>
        <v>168.45423656246101</v>
      </c>
      <c r="I65" s="6">
        <f>IF(PaymentSchedule[[#This Row],[PMT NO]]&lt;&gt;"",PaymentSchedule[[#This Row],[BEGINNING BALANCE]]*(InterestRate/PaymentsPerYear),"")</f>
        <v>670.9164986513922</v>
      </c>
      <c r="J65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134014.84549371598</v>
      </c>
      <c r="K65" s="6">
        <f>IF(PaymentSchedule[[#This Row],[PMT NO]]&lt;&gt;"",SUM(INDEX(PaymentSchedule[INTEREST],1,1):PaymentSchedule[[#This Row],[INTEREST]]),"")</f>
        <v>26750.304167056249</v>
      </c>
    </row>
    <row r="66" spans="2:11" x14ac:dyDescent="0.2">
      <c r="B66" s="4">
        <f>IF(LoanIsGood,IF(ROW()-ROW(PaymentSchedule[[#Headers],[PMT NO]])&gt;ScheduledNumberOfPayments,"",ROW()-ROW(PaymentSchedule[[#Headers],[PMT NO]])),"")</f>
        <v>40</v>
      </c>
      <c r="C66" s="5">
        <f>IF(PaymentSchedule[[#This Row],[PMT NO]]&lt;&gt;"",EOMONTH(LoanStartDate,ROW(PaymentSchedule[[#This Row],[PMT NO]])-ROW(PaymentSchedule[[#Headers],[PMT NO]])-2)+DAY(LoanStartDate),"")</f>
        <v>47239</v>
      </c>
      <c r="D66" s="6">
        <f>IF(PaymentSchedule[[#This Row],[PMT NO]]&lt;&gt;"",IF(ROW()-ROW(PaymentSchedule[[#Headers],[BEGINNING BALANCE]])=1,LoanAmount,INDEX(PaymentSchedule[ENDING BALANCE],ROW()-ROW(PaymentSchedule[[#Headers],[BEGINNING BALANCE]])-1)),"")</f>
        <v>134014.84549371598</v>
      </c>
      <c r="E66" s="6">
        <f>IF(PaymentSchedule[[#This Row],[PMT NO]]&lt;&gt;"",ScheduledPayment,"")</f>
        <v>839.37073521385321</v>
      </c>
      <c r="F66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66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66" s="6">
        <f>IF(PaymentSchedule[[#This Row],[PMT NO]]&lt;&gt;"",PaymentSchedule[[#This Row],[TOTAL PAYMENT]]-PaymentSchedule[[#This Row],[INTEREST]],"")</f>
        <v>169.29650774527329</v>
      </c>
      <c r="I66" s="6">
        <f>IF(PaymentSchedule[[#This Row],[PMT NO]]&lt;&gt;"",PaymentSchedule[[#This Row],[BEGINNING BALANCE]]*(InterestRate/PaymentsPerYear),"")</f>
        <v>670.07422746857992</v>
      </c>
      <c r="J66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133845.5489859707</v>
      </c>
      <c r="K66" s="6">
        <f>IF(PaymentSchedule[[#This Row],[PMT NO]]&lt;&gt;"",SUM(INDEX(PaymentSchedule[INTEREST],1,1):PaymentSchedule[[#This Row],[INTEREST]]),"")</f>
        <v>27420.378394524829</v>
      </c>
    </row>
    <row r="67" spans="2:11" x14ac:dyDescent="0.2">
      <c r="B67" s="4">
        <f>IF(LoanIsGood,IF(ROW()-ROW(PaymentSchedule[[#Headers],[PMT NO]])&gt;ScheduledNumberOfPayments,"",ROW()-ROW(PaymentSchedule[[#Headers],[PMT NO]])),"")</f>
        <v>41</v>
      </c>
      <c r="C67" s="5">
        <f>IF(PaymentSchedule[[#This Row],[PMT NO]]&lt;&gt;"",EOMONTH(LoanStartDate,ROW(PaymentSchedule[[#This Row],[PMT NO]])-ROW(PaymentSchedule[[#Headers],[PMT NO]])-2)+DAY(LoanStartDate),"")</f>
        <v>47270</v>
      </c>
      <c r="D67" s="6">
        <f>IF(PaymentSchedule[[#This Row],[PMT NO]]&lt;&gt;"",IF(ROW()-ROW(PaymentSchedule[[#Headers],[BEGINNING BALANCE]])=1,LoanAmount,INDEX(PaymentSchedule[ENDING BALANCE],ROW()-ROW(PaymentSchedule[[#Headers],[BEGINNING BALANCE]])-1)),"")</f>
        <v>133845.5489859707</v>
      </c>
      <c r="E67" s="6">
        <f>IF(PaymentSchedule[[#This Row],[PMT NO]]&lt;&gt;"",ScheduledPayment,"")</f>
        <v>839.37073521385321</v>
      </c>
      <c r="F67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67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67" s="6">
        <f>IF(PaymentSchedule[[#This Row],[PMT NO]]&lt;&gt;"",PaymentSchedule[[#This Row],[TOTAL PAYMENT]]-PaymentSchedule[[#This Row],[INTEREST]],"")</f>
        <v>170.14299028399967</v>
      </c>
      <c r="I67" s="6">
        <f>IF(PaymentSchedule[[#This Row],[PMT NO]]&lt;&gt;"",PaymentSchedule[[#This Row],[BEGINNING BALANCE]]*(InterestRate/PaymentsPerYear),"")</f>
        <v>669.22774492985354</v>
      </c>
      <c r="J67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133675.40599568671</v>
      </c>
      <c r="K67" s="6">
        <f>IF(PaymentSchedule[[#This Row],[PMT NO]]&lt;&gt;"",SUM(INDEX(PaymentSchedule[INTEREST],1,1):PaymentSchedule[[#This Row],[INTEREST]]),"")</f>
        <v>28089.606139454681</v>
      </c>
    </row>
    <row r="68" spans="2:11" x14ac:dyDescent="0.2">
      <c r="B68" s="4">
        <f>IF(LoanIsGood,IF(ROW()-ROW(PaymentSchedule[[#Headers],[PMT NO]])&gt;ScheduledNumberOfPayments,"",ROW()-ROW(PaymentSchedule[[#Headers],[PMT NO]])),"")</f>
        <v>42</v>
      </c>
      <c r="C68" s="5">
        <f>IF(PaymentSchedule[[#This Row],[PMT NO]]&lt;&gt;"",EOMONTH(LoanStartDate,ROW(PaymentSchedule[[#This Row],[PMT NO]])-ROW(PaymentSchedule[[#Headers],[PMT NO]])-2)+DAY(LoanStartDate),"")</f>
        <v>47300</v>
      </c>
      <c r="D68" s="6">
        <f>IF(PaymentSchedule[[#This Row],[PMT NO]]&lt;&gt;"",IF(ROW()-ROW(PaymentSchedule[[#Headers],[BEGINNING BALANCE]])=1,LoanAmount,INDEX(PaymentSchedule[ENDING BALANCE],ROW()-ROW(PaymentSchedule[[#Headers],[BEGINNING BALANCE]])-1)),"")</f>
        <v>133675.40599568671</v>
      </c>
      <c r="E68" s="6">
        <f>IF(PaymentSchedule[[#This Row],[PMT NO]]&lt;&gt;"",ScheduledPayment,"")</f>
        <v>839.37073521385321</v>
      </c>
      <c r="F68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68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68" s="6">
        <f>IF(PaymentSchedule[[#This Row],[PMT NO]]&lt;&gt;"",PaymentSchedule[[#This Row],[TOTAL PAYMENT]]-PaymentSchedule[[#This Row],[INTEREST]],"")</f>
        <v>170.99370523541961</v>
      </c>
      <c r="I68" s="6">
        <f>IF(PaymentSchedule[[#This Row],[PMT NO]]&lt;&gt;"",PaymentSchedule[[#This Row],[BEGINNING BALANCE]]*(InterestRate/PaymentsPerYear),"")</f>
        <v>668.3770299784336</v>
      </c>
      <c r="J68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133504.41229045129</v>
      </c>
      <c r="K68" s="6">
        <f>IF(PaymentSchedule[[#This Row],[PMT NO]]&lt;&gt;"",SUM(INDEX(PaymentSchedule[INTEREST],1,1):PaymentSchedule[[#This Row],[INTEREST]]),"")</f>
        <v>28757.983169433115</v>
      </c>
    </row>
    <row r="69" spans="2:11" x14ac:dyDescent="0.2">
      <c r="B69" s="4">
        <f>IF(LoanIsGood,IF(ROW()-ROW(PaymentSchedule[[#Headers],[PMT NO]])&gt;ScheduledNumberOfPayments,"",ROW()-ROW(PaymentSchedule[[#Headers],[PMT NO]])),"")</f>
        <v>43</v>
      </c>
      <c r="C69" s="5">
        <f>IF(PaymentSchedule[[#This Row],[PMT NO]]&lt;&gt;"",EOMONTH(LoanStartDate,ROW(PaymentSchedule[[#This Row],[PMT NO]])-ROW(PaymentSchedule[[#Headers],[PMT NO]])-2)+DAY(LoanStartDate),"")</f>
        <v>47331</v>
      </c>
      <c r="D69" s="6">
        <f>IF(PaymentSchedule[[#This Row],[PMT NO]]&lt;&gt;"",IF(ROW()-ROW(PaymentSchedule[[#Headers],[BEGINNING BALANCE]])=1,LoanAmount,INDEX(PaymentSchedule[ENDING BALANCE],ROW()-ROW(PaymentSchedule[[#Headers],[BEGINNING BALANCE]])-1)),"")</f>
        <v>133504.41229045129</v>
      </c>
      <c r="E69" s="6">
        <f>IF(PaymentSchedule[[#This Row],[PMT NO]]&lt;&gt;"",ScheduledPayment,"")</f>
        <v>839.37073521385321</v>
      </c>
      <c r="F69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69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69" s="6">
        <f>IF(PaymentSchedule[[#This Row],[PMT NO]]&lt;&gt;"",PaymentSchedule[[#This Row],[TOTAL PAYMENT]]-PaymentSchedule[[#This Row],[INTEREST]],"")</f>
        <v>171.84867376159673</v>
      </c>
      <c r="I69" s="6">
        <f>IF(PaymentSchedule[[#This Row],[PMT NO]]&lt;&gt;"",PaymentSchedule[[#This Row],[BEGINNING BALANCE]]*(InterestRate/PaymentsPerYear),"")</f>
        <v>667.52206145225648</v>
      </c>
      <c r="J69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133332.5636166897</v>
      </c>
      <c r="K69" s="6">
        <f>IF(PaymentSchedule[[#This Row],[PMT NO]]&lt;&gt;"",SUM(INDEX(PaymentSchedule[INTEREST],1,1):PaymentSchedule[[#This Row],[INTEREST]]),"")</f>
        <v>29425.50523088537</v>
      </c>
    </row>
    <row r="70" spans="2:11" x14ac:dyDescent="0.2">
      <c r="B70" s="4">
        <f>IF(LoanIsGood,IF(ROW()-ROW(PaymentSchedule[[#Headers],[PMT NO]])&gt;ScheduledNumberOfPayments,"",ROW()-ROW(PaymentSchedule[[#Headers],[PMT NO]])),"")</f>
        <v>44</v>
      </c>
      <c r="C70" s="5">
        <f>IF(PaymentSchedule[[#This Row],[PMT NO]]&lt;&gt;"",EOMONTH(LoanStartDate,ROW(PaymentSchedule[[#This Row],[PMT NO]])-ROW(PaymentSchedule[[#Headers],[PMT NO]])-2)+DAY(LoanStartDate),"")</f>
        <v>47362</v>
      </c>
      <c r="D70" s="6">
        <f>IF(PaymentSchedule[[#This Row],[PMT NO]]&lt;&gt;"",IF(ROW()-ROW(PaymentSchedule[[#Headers],[BEGINNING BALANCE]])=1,LoanAmount,INDEX(PaymentSchedule[ENDING BALANCE],ROW()-ROW(PaymentSchedule[[#Headers],[BEGINNING BALANCE]])-1)),"")</f>
        <v>133332.5636166897</v>
      </c>
      <c r="E70" s="6">
        <f>IF(PaymentSchedule[[#This Row],[PMT NO]]&lt;&gt;"",ScheduledPayment,"")</f>
        <v>839.37073521385321</v>
      </c>
      <c r="F70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70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70" s="6">
        <f>IF(PaymentSchedule[[#This Row],[PMT NO]]&lt;&gt;"",PaymentSchedule[[#This Row],[TOTAL PAYMENT]]-PaymentSchedule[[#This Row],[INTEREST]],"")</f>
        <v>172.70791713040467</v>
      </c>
      <c r="I70" s="6">
        <f>IF(PaymentSchedule[[#This Row],[PMT NO]]&lt;&gt;"",PaymentSchedule[[#This Row],[BEGINNING BALANCE]]*(InterestRate/PaymentsPerYear),"")</f>
        <v>666.66281808344854</v>
      </c>
      <c r="J70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133159.8556995593</v>
      </c>
      <c r="K70" s="6">
        <f>IF(PaymentSchedule[[#This Row],[PMT NO]]&lt;&gt;"",SUM(INDEX(PaymentSchedule[INTEREST],1,1):PaymentSchedule[[#This Row],[INTEREST]]),"")</f>
        <v>30092.168048968819</v>
      </c>
    </row>
    <row r="71" spans="2:11" x14ac:dyDescent="0.2">
      <c r="B71" s="4">
        <f>IF(LoanIsGood,IF(ROW()-ROW(PaymentSchedule[[#Headers],[PMT NO]])&gt;ScheduledNumberOfPayments,"",ROW()-ROW(PaymentSchedule[[#Headers],[PMT NO]])),"")</f>
        <v>45</v>
      </c>
      <c r="C71" s="5">
        <f>IF(PaymentSchedule[[#This Row],[PMT NO]]&lt;&gt;"",EOMONTH(LoanStartDate,ROW(PaymentSchedule[[#This Row],[PMT NO]])-ROW(PaymentSchedule[[#Headers],[PMT NO]])-2)+DAY(LoanStartDate),"")</f>
        <v>47392</v>
      </c>
      <c r="D71" s="6">
        <f>IF(PaymentSchedule[[#This Row],[PMT NO]]&lt;&gt;"",IF(ROW()-ROW(PaymentSchedule[[#Headers],[BEGINNING BALANCE]])=1,LoanAmount,INDEX(PaymentSchedule[ENDING BALANCE],ROW()-ROW(PaymentSchedule[[#Headers],[BEGINNING BALANCE]])-1)),"")</f>
        <v>133159.8556995593</v>
      </c>
      <c r="E71" s="6">
        <f>IF(PaymentSchedule[[#This Row],[PMT NO]]&lt;&gt;"",ScheduledPayment,"")</f>
        <v>839.37073521385321</v>
      </c>
      <c r="F71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71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71" s="6">
        <f>IF(PaymentSchedule[[#This Row],[PMT NO]]&lt;&gt;"",PaymentSchedule[[#This Row],[TOTAL PAYMENT]]-PaymentSchedule[[#This Row],[INTEREST]],"")</f>
        <v>173.57145671605667</v>
      </c>
      <c r="I71" s="6">
        <f>IF(PaymentSchedule[[#This Row],[PMT NO]]&lt;&gt;"",PaymentSchedule[[#This Row],[BEGINNING BALANCE]]*(InterestRate/PaymentsPerYear),"")</f>
        <v>665.79927849779654</v>
      </c>
      <c r="J71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132986.28424284325</v>
      </c>
      <c r="K71" s="6">
        <f>IF(PaymentSchedule[[#This Row],[PMT NO]]&lt;&gt;"",SUM(INDEX(PaymentSchedule[INTEREST],1,1):PaymentSchedule[[#This Row],[INTEREST]]),"")</f>
        <v>30757.967327466617</v>
      </c>
    </row>
    <row r="72" spans="2:11" x14ac:dyDescent="0.2">
      <c r="B72" s="4">
        <f>IF(LoanIsGood,IF(ROW()-ROW(PaymentSchedule[[#Headers],[PMT NO]])&gt;ScheduledNumberOfPayments,"",ROW()-ROW(PaymentSchedule[[#Headers],[PMT NO]])),"")</f>
        <v>46</v>
      </c>
      <c r="C72" s="5">
        <f>IF(PaymentSchedule[[#This Row],[PMT NO]]&lt;&gt;"",EOMONTH(LoanStartDate,ROW(PaymentSchedule[[#This Row],[PMT NO]])-ROW(PaymentSchedule[[#Headers],[PMT NO]])-2)+DAY(LoanStartDate),"")</f>
        <v>47423</v>
      </c>
      <c r="D72" s="6">
        <f>IF(PaymentSchedule[[#This Row],[PMT NO]]&lt;&gt;"",IF(ROW()-ROW(PaymentSchedule[[#Headers],[BEGINNING BALANCE]])=1,LoanAmount,INDEX(PaymentSchedule[ENDING BALANCE],ROW()-ROW(PaymentSchedule[[#Headers],[BEGINNING BALANCE]])-1)),"")</f>
        <v>132986.28424284325</v>
      </c>
      <c r="E72" s="6">
        <f>IF(PaymentSchedule[[#This Row],[PMT NO]]&lt;&gt;"",ScheduledPayment,"")</f>
        <v>839.37073521385321</v>
      </c>
      <c r="F72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72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72" s="6">
        <f>IF(PaymentSchedule[[#This Row],[PMT NO]]&lt;&gt;"",PaymentSchedule[[#This Row],[TOTAL PAYMENT]]-PaymentSchedule[[#This Row],[INTEREST]],"")</f>
        <v>174.43931399963697</v>
      </c>
      <c r="I72" s="6">
        <f>IF(PaymentSchedule[[#This Row],[PMT NO]]&lt;&gt;"",PaymentSchedule[[#This Row],[BEGINNING BALANCE]]*(InterestRate/PaymentsPerYear),"")</f>
        <v>664.93142121421624</v>
      </c>
      <c r="J72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132811.84492884361</v>
      </c>
      <c r="K72" s="6">
        <f>IF(PaymentSchedule[[#This Row],[PMT NO]]&lt;&gt;"",SUM(INDEX(PaymentSchedule[INTEREST],1,1):PaymentSchedule[[#This Row],[INTEREST]]),"")</f>
        <v>31422.898748680833</v>
      </c>
    </row>
    <row r="73" spans="2:11" x14ac:dyDescent="0.2">
      <c r="B73" s="4">
        <f>IF(LoanIsGood,IF(ROW()-ROW(PaymentSchedule[[#Headers],[PMT NO]])&gt;ScheduledNumberOfPayments,"",ROW()-ROW(PaymentSchedule[[#Headers],[PMT NO]])),"")</f>
        <v>47</v>
      </c>
      <c r="C73" s="5">
        <f>IF(PaymentSchedule[[#This Row],[PMT NO]]&lt;&gt;"",EOMONTH(LoanStartDate,ROW(PaymentSchedule[[#This Row],[PMT NO]])-ROW(PaymentSchedule[[#Headers],[PMT NO]])-2)+DAY(LoanStartDate),"")</f>
        <v>47453</v>
      </c>
      <c r="D73" s="6">
        <f>IF(PaymentSchedule[[#This Row],[PMT NO]]&lt;&gt;"",IF(ROW()-ROW(PaymentSchedule[[#Headers],[BEGINNING BALANCE]])=1,LoanAmount,INDEX(PaymentSchedule[ENDING BALANCE],ROW()-ROW(PaymentSchedule[[#Headers],[BEGINNING BALANCE]])-1)),"")</f>
        <v>132811.84492884361</v>
      </c>
      <c r="E73" s="6">
        <f>IF(PaymentSchedule[[#This Row],[PMT NO]]&lt;&gt;"",ScheduledPayment,"")</f>
        <v>839.37073521385321</v>
      </c>
      <c r="F73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73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73" s="6">
        <f>IF(PaymentSchedule[[#This Row],[PMT NO]]&lt;&gt;"",PaymentSchedule[[#This Row],[TOTAL PAYMENT]]-PaymentSchedule[[#This Row],[INTEREST]],"")</f>
        <v>175.31151056963517</v>
      </c>
      <c r="I73" s="6">
        <f>IF(PaymentSchedule[[#This Row],[PMT NO]]&lt;&gt;"",PaymentSchedule[[#This Row],[BEGINNING BALANCE]]*(InterestRate/PaymentsPerYear),"")</f>
        <v>664.05922464421803</v>
      </c>
      <c r="J73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132636.53341827396</v>
      </c>
      <c r="K73" s="6">
        <f>IF(PaymentSchedule[[#This Row],[PMT NO]]&lt;&gt;"",SUM(INDEX(PaymentSchedule[INTEREST],1,1):PaymentSchedule[[#This Row],[INTEREST]]),"")</f>
        <v>32086.95797332505</v>
      </c>
    </row>
    <row r="74" spans="2:11" x14ac:dyDescent="0.2">
      <c r="B74" s="4">
        <f>IF(LoanIsGood,IF(ROW()-ROW(PaymentSchedule[[#Headers],[PMT NO]])&gt;ScheduledNumberOfPayments,"",ROW()-ROW(PaymentSchedule[[#Headers],[PMT NO]])),"")</f>
        <v>48</v>
      </c>
      <c r="C74" s="5">
        <f>IF(PaymentSchedule[[#This Row],[PMT NO]]&lt;&gt;"",EOMONTH(LoanStartDate,ROW(PaymentSchedule[[#This Row],[PMT NO]])-ROW(PaymentSchedule[[#Headers],[PMT NO]])-2)+DAY(LoanStartDate),"")</f>
        <v>47484</v>
      </c>
      <c r="D74" s="6">
        <f>IF(PaymentSchedule[[#This Row],[PMT NO]]&lt;&gt;"",IF(ROW()-ROW(PaymentSchedule[[#Headers],[BEGINNING BALANCE]])=1,LoanAmount,INDEX(PaymentSchedule[ENDING BALANCE],ROW()-ROW(PaymentSchedule[[#Headers],[BEGINNING BALANCE]])-1)),"")</f>
        <v>132636.53341827396</v>
      </c>
      <c r="E74" s="6">
        <f>IF(PaymentSchedule[[#This Row],[PMT NO]]&lt;&gt;"",ScheduledPayment,"")</f>
        <v>839.37073521385321</v>
      </c>
      <c r="F74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74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74" s="6">
        <f>IF(PaymentSchedule[[#This Row],[PMT NO]]&lt;&gt;"",PaymentSchedule[[#This Row],[TOTAL PAYMENT]]-PaymentSchedule[[#This Row],[INTEREST]],"")</f>
        <v>176.1880681224834</v>
      </c>
      <c r="I74" s="6">
        <f>IF(PaymentSchedule[[#This Row],[PMT NO]]&lt;&gt;"",PaymentSchedule[[#This Row],[BEGINNING BALANCE]]*(InterestRate/PaymentsPerYear),"")</f>
        <v>663.18266709136981</v>
      </c>
      <c r="J74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132460.34535015147</v>
      </c>
      <c r="K74" s="6">
        <f>IF(PaymentSchedule[[#This Row],[PMT NO]]&lt;&gt;"",SUM(INDEX(PaymentSchedule[INTEREST],1,1):PaymentSchedule[[#This Row],[INTEREST]]),"")</f>
        <v>32750.140640416419</v>
      </c>
    </row>
    <row r="75" spans="2:11" x14ac:dyDescent="0.2">
      <c r="B75" s="4">
        <f>IF(LoanIsGood,IF(ROW()-ROW(PaymentSchedule[[#Headers],[PMT NO]])&gt;ScheduledNumberOfPayments,"",ROW()-ROW(PaymentSchedule[[#Headers],[PMT NO]])),"")</f>
        <v>49</v>
      </c>
      <c r="C75" s="5">
        <f>IF(PaymentSchedule[[#This Row],[PMT NO]]&lt;&gt;"",EOMONTH(LoanStartDate,ROW(PaymentSchedule[[#This Row],[PMT NO]])-ROW(PaymentSchedule[[#Headers],[PMT NO]])-2)+DAY(LoanStartDate),"")</f>
        <v>47515</v>
      </c>
      <c r="D75" s="6">
        <f>IF(PaymentSchedule[[#This Row],[PMT NO]]&lt;&gt;"",IF(ROW()-ROW(PaymentSchedule[[#Headers],[BEGINNING BALANCE]])=1,LoanAmount,INDEX(PaymentSchedule[ENDING BALANCE],ROW()-ROW(PaymentSchedule[[#Headers],[BEGINNING BALANCE]])-1)),"")</f>
        <v>132460.34535015147</v>
      </c>
      <c r="E75" s="6">
        <f>IF(PaymentSchedule[[#This Row],[PMT NO]]&lt;&gt;"",ScheduledPayment,"")</f>
        <v>839.37073521385321</v>
      </c>
      <c r="F75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75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75" s="6">
        <f>IF(PaymentSchedule[[#This Row],[PMT NO]]&lt;&gt;"",PaymentSchedule[[#This Row],[TOTAL PAYMENT]]-PaymentSchedule[[#This Row],[INTEREST]],"")</f>
        <v>177.06900846309577</v>
      </c>
      <c r="I75" s="6">
        <f>IF(PaymentSchedule[[#This Row],[PMT NO]]&lt;&gt;"",PaymentSchedule[[#This Row],[BEGINNING BALANCE]]*(InterestRate/PaymentsPerYear),"")</f>
        <v>662.30172675075744</v>
      </c>
      <c r="J75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132283.27634168838</v>
      </c>
      <c r="K75" s="6">
        <f>IF(PaymentSchedule[[#This Row],[PMT NO]]&lt;&gt;"",SUM(INDEX(PaymentSchedule[INTEREST],1,1):PaymentSchedule[[#This Row],[INTEREST]]),"")</f>
        <v>33412.442367167176</v>
      </c>
    </row>
    <row r="76" spans="2:11" x14ac:dyDescent="0.2">
      <c r="B76" s="4">
        <f>IF(LoanIsGood,IF(ROW()-ROW(PaymentSchedule[[#Headers],[PMT NO]])&gt;ScheduledNumberOfPayments,"",ROW()-ROW(PaymentSchedule[[#Headers],[PMT NO]])),"")</f>
        <v>50</v>
      </c>
      <c r="C76" s="5">
        <f>IF(PaymentSchedule[[#This Row],[PMT NO]]&lt;&gt;"",EOMONTH(LoanStartDate,ROW(PaymentSchedule[[#This Row],[PMT NO]])-ROW(PaymentSchedule[[#Headers],[PMT NO]])-2)+DAY(LoanStartDate),"")</f>
        <v>47543</v>
      </c>
      <c r="D76" s="6">
        <f>IF(PaymentSchedule[[#This Row],[PMT NO]]&lt;&gt;"",IF(ROW()-ROW(PaymentSchedule[[#Headers],[BEGINNING BALANCE]])=1,LoanAmount,INDEX(PaymentSchedule[ENDING BALANCE],ROW()-ROW(PaymentSchedule[[#Headers],[BEGINNING BALANCE]])-1)),"")</f>
        <v>132283.27634168838</v>
      </c>
      <c r="E76" s="6">
        <f>IF(PaymentSchedule[[#This Row],[PMT NO]]&lt;&gt;"",ScheduledPayment,"")</f>
        <v>839.37073521385321</v>
      </c>
      <c r="F76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76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76" s="6">
        <f>IF(PaymentSchedule[[#This Row],[PMT NO]]&lt;&gt;"",PaymentSchedule[[#This Row],[TOTAL PAYMENT]]-PaymentSchedule[[#This Row],[INTEREST]],"")</f>
        <v>177.95435350541129</v>
      </c>
      <c r="I76" s="6">
        <f>IF(PaymentSchedule[[#This Row],[PMT NO]]&lt;&gt;"",PaymentSchedule[[#This Row],[BEGINNING BALANCE]]*(InterestRate/PaymentsPerYear),"")</f>
        <v>661.41638170844192</v>
      </c>
      <c r="J76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132105.32198818296</v>
      </c>
      <c r="K76" s="6">
        <f>IF(PaymentSchedule[[#This Row],[PMT NO]]&lt;&gt;"",SUM(INDEX(PaymentSchedule[INTEREST],1,1):PaymentSchedule[[#This Row],[INTEREST]]),"")</f>
        <v>34073.858748875617</v>
      </c>
    </row>
    <row r="77" spans="2:11" x14ac:dyDescent="0.2">
      <c r="B77" s="4">
        <f>IF(LoanIsGood,IF(ROW()-ROW(PaymentSchedule[[#Headers],[PMT NO]])&gt;ScheduledNumberOfPayments,"",ROW()-ROW(PaymentSchedule[[#Headers],[PMT NO]])),"")</f>
        <v>51</v>
      </c>
      <c r="C77" s="5">
        <f>IF(PaymentSchedule[[#This Row],[PMT NO]]&lt;&gt;"",EOMONTH(LoanStartDate,ROW(PaymentSchedule[[#This Row],[PMT NO]])-ROW(PaymentSchedule[[#Headers],[PMT NO]])-2)+DAY(LoanStartDate),"")</f>
        <v>47574</v>
      </c>
      <c r="D77" s="6">
        <f>IF(PaymentSchedule[[#This Row],[PMT NO]]&lt;&gt;"",IF(ROW()-ROW(PaymentSchedule[[#Headers],[BEGINNING BALANCE]])=1,LoanAmount,INDEX(PaymentSchedule[ENDING BALANCE],ROW()-ROW(PaymentSchedule[[#Headers],[BEGINNING BALANCE]])-1)),"")</f>
        <v>132105.32198818296</v>
      </c>
      <c r="E77" s="6">
        <f>IF(PaymentSchedule[[#This Row],[PMT NO]]&lt;&gt;"",ScheduledPayment,"")</f>
        <v>839.37073521385321</v>
      </c>
      <c r="F77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77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77" s="6">
        <f>IF(PaymentSchedule[[#This Row],[PMT NO]]&lt;&gt;"",PaymentSchedule[[#This Row],[TOTAL PAYMENT]]-PaymentSchedule[[#This Row],[INTEREST]],"")</f>
        <v>178.84412527293841</v>
      </c>
      <c r="I77" s="6">
        <f>IF(PaymentSchedule[[#This Row],[PMT NO]]&lt;&gt;"",PaymentSchedule[[#This Row],[BEGINNING BALANCE]]*(InterestRate/PaymentsPerYear),"")</f>
        <v>660.5266099409148</v>
      </c>
      <c r="J77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131926.47786291002</v>
      </c>
      <c r="K77" s="6">
        <f>IF(PaymentSchedule[[#This Row],[PMT NO]]&lt;&gt;"",SUM(INDEX(PaymentSchedule[INTEREST],1,1):PaymentSchedule[[#This Row],[INTEREST]]),"")</f>
        <v>34734.385358816529</v>
      </c>
    </row>
    <row r="78" spans="2:11" x14ac:dyDescent="0.2">
      <c r="B78" s="4">
        <f>IF(LoanIsGood,IF(ROW()-ROW(PaymentSchedule[[#Headers],[PMT NO]])&gt;ScheduledNumberOfPayments,"",ROW()-ROW(PaymentSchedule[[#Headers],[PMT NO]])),"")</f>
        <v>52</v>
      </c>
      <c r="C78" s="5">
        <f>IF(PaymentSchedule[[#This Row],[PMT NO]]&lt;&gt;"",EOMONTH(LoanStartDate,ROW(PaymentSchedule[[#This Row],[PMT NO]])-ROW(PaymentSchedule[[#Headers],[PMT NO]])-2)+DAY(LoanStartDate),"")</f>
        <v>47604</v>
      </c>
      <c r="D78" s="6">
        <f>IF(PaymentSchedule[[#This Row],[PMT NO]]&lt;&gt;"",IF(ROW()-ROW(PaymentSchedule[[#Headers],[BEGINNING BALANCE]])=1,LoanAmount,INDEX(PaymentSchedule[ENDING BALANCE],ROW()-ROW(PaymentSchedule[[#Headers],[BEGINNING BALANCE]])-1)),"")</f>
        <v>131926.47786291002</v>
      </c>
      <c r="E78" s="6">
        <f>IF(PaymentSchedule[[#This Row],[PMT NO]]&lt;&gt;"",ScheduledPayment,"")</f>
        <v>839.37073521385321</v>
      </c>
      <c r="F78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78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78" s="6">
        <f>IF(PaymentSchedule[[#This Row],[PMT NO]]&lt;&gt;"",PaymentSchedule[[#This Row],[TOTAL PAYMENT]]-PaymentSchedule[[#This Row],[INTEREST]],"")</f>
        <v>179.73834589930311</v>
      </c>
      <c r="I78" s="6">
        <f>IF(PaymentSchedule[[#This Row],[PMT NO]]&lt;&gt;"",PaymentSchedule[[#This Row],[BEGINNING BALANCE]]*(InterestRate/PaymentsPerYear),"")</f>
        <v>659.6323893145501</v>
      </c>
      <c r="J78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131746.73951701072</v>
      </c>
      <c r="K78" s="6">
        <f>IF(PaymentSchedule[[#This Row],[PMT NO]]&lt;&gt;"",SUM(INDEX(PaymentSchedule[INTEREST],1,1):PaymentSchedule[[#This Row],[INTEREST]]),"")</f>
        <v>35394.017748131082</v>
      </c>
    </row>
    <row r="79" spans="2:11" x14ac:dyDescent="0.2">
      <c r="B79" s="4">
        <f>IF(LoanIsGood,IF(ROW()-ROW(PaymentSchedule[[#Headers],[PMT NO]])&gt;ScheduledNumberOfPayments,"",ROW()-ROW(PaymentSchedule[[#Headers],[PMT NO]])),"")</f>
        <v>53</v>
      </c>
      <c r="C79" s="5">
        <f>IF(PaymentSchedule[[#This Row],[PMT NO]]&lt;&gt;"",EOMONTH(LoanStartDate,ROW(PaymentSchedule[[#This Row],[PMT NO]])-ROW(PaymentSchedule[[#Headers],[PMT NO]])-2)+DAY(LoanStartDate),"")</f>
        <v>47635</v>
      </c>
      <c r="D79" s="6">
        <f>IF(PaymentSchedule[[#This Row],[PMT NO]]&lt;&gt;"",IF(ROW()-ROW(PaymentSchedule[[#Headers],[BEGINNING BALANCE]])=1,LoanAmount,INDEX(PaymentSchedule[ENDING BALANCE],ROW()-ROW(PaymentSchedule[[#Headers],[BEGINNING BALANCE]])-1)),"")</f>
        <v>131746.73951701072</v>
      </c>
      <c r="E79" s="6">
        <f>IF(PaymentSchedule[[#This Row],[PMT NO]]&lt;&gt;"",ScheduledPayment,"")</f>
        <v>839.37073521385321</v>
      </c>
      <c r="F79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79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79" s="6">
        <f>IF(PaymentSchedule[[#This Row],[PMT NO]]&lt;&gt;"",PaymentSchedule[[#This Row],[TOTAL PAYMENT]]-PaymentSchedule[[#This Row],[INTEREST]],"")</f>
        <v>180.63703762879959</v>
      </c>
      <c r="I79" s="6">
        <f>IF(PaymentSchedule[[#This Row],[PMT NO]]&lt;&gt;"",PaymentSchedule[[#This Row],[BEGINNING BALANCE]]*(InterestRate/PaymentsPerYear),"")</f>
        <v>658.73369758505362</v>
      </c>
      <c r="J79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131566.10247938192</v>
      </c>
      <c r="K79" s="6">
        <f>IF(PaymentSchedule[[#This Row],[PMT NO]]&lt;&gt;"",SUM(INDEX(PaymentSchedule[INTEREST],1,1):PaymentSchedule[[#This Row],[INTEREST]]),"")</f>
        <v>36052.751445716138</v>
      </c>
    </row>
    <row r="80" spans="2:11" x14ac:dyDescent="0.2">
      <c r="B80" s="4">
        <f>IF(LoanIsGood,IF(ROW()-ROW(PaymentSchedule[[#Headers],[PMT NO]])&gt;ScheduledNumberOfPayments,"",ROW()-ROW(PaymentSchedule[[#Headers],[PMT NO]])),"")</f>
        <v>54</v>
      </c>
      <c r="C80" s="5">
        <f>IF(PaymentSchedule[[#This Row],[PMT NO]]&lt;&gt;"",EOMONTH(LoanStartDate,ROW(PaymentSchedule[[#This Row],[PMT NO]])-ROW(PaymentSchedule[[#Headers],[PMT NO]])-2)+DAY(LoanStartDate),"")</f>
        <v>47665</v>
      </c>
      <c r="D80" s="6">
        <f>IF(PaymentSchedule[[#This Row],[PMT NO]]&lt;&gt;"",IF(ROW()-ROW(PaymentSchedule[[#Headers],[BEGINNING BALANCE]])=1,LoanAmount,INDEX(PaymentSchedule[ENDING BALANCE],ROW()-ROW(PaymentSchedule[[#Headers],[BEGINNING BALANCE]])-1)),"")</f>
        <v>131566.10247938192</v>
      </c>
      <c r="E80" s="6">
        <f>IF(PaymentSchedule[[#This Row],[PMT NO]]&lt;&gt;"",ScheduledPayment,"")</f>
        <v>839.37073521385321</v>
      </c>
      <c r="F80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80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80" s="6">
        <f>IF(PaymentSchedule[[#This Row],[PMT NO]]&lt;&gt;"",PaymentSchedule[[#This Row],[TOTAL PAYMENT]]-PaymentSchedule[[#This Row],[INTEREST]],"")</f>
        <v>181.54022281694358</v>
      </c>
      <c r="I80" s="6">
        <f>IF(PaymentSchedule[[#This Row],[PMT NO]]&lt;&gt;"",PaymentSchedule[[#This Row],[BEGINNING BALANCE]]*(InterestRate/PaymentsPerYear),"")</f>
        <v>657.83051239690963</v>
      </c>
      <c r="J80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131384.56225656497</v>
      </c>
      <c r="K80" s="6">
        <f>IF(PaymentSchedule[[#This Row],[PMT NO]]&lt;&gt;"",SUM(INDEX(PaymentSchedule[INTEREST],1,1):PaymentSchedule[[#This Row],[INTEREST]]),"")</f>
        <v>36710.581958113049</v>
      </c>
    </row>
    <row r="81" spans="2:11" x14ac:dyDescent="0.2">
      <c r="B81" s="4">
        <f>IF(LoanIsGood,IF(ROW()-ROW(PaymentSchedule[[#Headers],[PMT NO]])&gt;ScheduledNumberOfPayments,"",ROW()-ROW(PaymentSchedule[[#Headers],[PMT NO]])),"")</f>
        <v>55</v>
      </c>
      <c r="C81" s="5">
        <f>IF(PaymentSchedule[[#This Row],[PMT NO]]&lt;&gt;"",EOMONTH(LoanStartDate,ROW(PaymentSchedule[[#This Row],[PMT NO]])-ROW(PaymentSchedule[[#Headers],[PMT NO]])-2)+DAY(LoanStartDate),"")</f>
        <v>47696</v>
      </c>
      <c r="D81" s="6">
        <f>IF(PaymentSchedule[[#This Row],[PMT NO]]&lt;&gt;"",IF(ROW()-ROW(PaymentSchedule[[#Headers],[BEGINNING BALANCE]])=1,LoanAmount,INDEX(PaymentSchedule[ENDING BALANCE],ROW()-ROW(PaymentSchedule[[#Headers],[BEGINNING BALANCE]])-1)),"")</f>
        <v>131384.56225656497</v>
      </c>
      <c r="E81" s="6">
        <f>IF(PaymentSchedule[[#This Row],[PMT NO]]&lt;&gt;"",ScheduledPayment,"")</f>
        <v>839.37073521385321</v>
      </c>
      <c r="F81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81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81" s="6">
        <f>IF(PaymentSchedule[[#This Row],[PMT NO]]&lt;&gt;"",PaymentSchedule[[#This Row],[TOTAL PAYMENT]]-PaymentSchedule[[#This Row],[INTEREST]],"")</f>
        <v>182.4479239310283</v>
      </c>
      <c r="I81" s="6">
        <f>IF(PaymentSchedule[[#This Row],[PMT NO]]&lt;&gt;"",PaymentSchedule[[#This Row],[BEGINNING BALANCE]]*(InterestRate/PaymentsPerYear),"")</f>
        <v>656.92281128282491</v>
      </c>
      <c r="J81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131202.11433263394</v>
      </c>
      <c r="K81" s="6">
        <f>IF(PaymentSchedule[[#This Row],[PMT NO]]&lt;&gt;"",SUM(INDEX(PaymentSchedule[INTEREST],1,1):PaymentSchedule[[#This Row],[INTEREST]]),"")</f>
        <v>37367.504769395877</v>
      </c>
    </row>
    <row r="82" spans="2:11" x14ac:dyDescent="0.2">
      <c r="B82" s="4">
        <f>IF(LoanIsGood,IF(ROW()-ROW(PaymentSchedule[[#Headers],[PMT NO]])&gt;ScheduledNumberOfPayments,"",ROW()-ROW(PaymentSchedule[[#Headers],[PMT NO]])),"")</f>
        <v>56</v>
      </c>
      <c r="C82" s="5">
        <f>IF(PaymentSchedule[[#This Row],[PMT NO]]&lt;&gt;"",EOMONTH(LoanStartDate,ROW(PaymentSchedule[[#This Row],[PMT NO]])-ROW(PaymentSchedule[[#Headers],[PMT NO]])-2)+DAY(LoanStartDate),"")</f>
        <v>47727</v>
      </c>
      <c r="D82" s="6">
        <f>IF(PaymentSchedule[[#This Row],[PMT NO]]&lt;&gt;"",IF(ROW()-ROW(PaymentSchedule[[#Headers],[BEGINNING BALANCE]])=1,LoanAmount,INDEX(PaymentSchedule[ENDING BALANCE],ROW()-ROW(PaymentSchedule[[#Headers],[BEGINNING BALANCE]])-1)),"")</f>
        <v>131202.11433263394</v>
      </c>
      <c r="E82" s="6">
        <f>IF(PaymentSchedule[[#This Row],[PMT NO]]&lt;&gt;"",ScheduledPayment,"")</f>
        <v>839.37073521385321</v>
      </c>
      <c r="F82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82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82" s="6">
        <f>IF(PaymentSchedule[[#This Row],[PMT NO]]&lt;&gt;"",PaymentSchedule[[#This Row],[TOTAL PAYMENT]]-PaymentSchedule[[#This Row],[INTEREST]],"")</f>
        <v>183.36016355068352</v>
      </c>
      <c r="I82" s="6">
        <f>IF(PaymentSchedule[[#This Row],[PMT NO]]&lt;&gt;"",PaymentSchedule[[#This Row],[BEGINNING BALANCE]]*(InterestRate/PaymentsPerYear),"")</f>
        <v>656.01057166316969</v>
      </c>
      <c r="J82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131018.75416908326</v>
      </c>
      <c r="K82" s="6">
        <f>IF(PaymentSchedule[[#This Row],[PMT NO]]&lt;&gt;"",SUM(INDEX(PaymentSchedule[INTEREST],1,1):PaymentSchedule[[#This Row],[INTEREST]]),"")</f>
        <v>38023.515341059043</v>
      </c>
    </row>
    <row r="83" spans="2:11" x14ac:dyDescent="0.2">
      <c r="B83" s="4">
        <f>IF(LoanIsGood,IF(ROW()-ROW(PaymentSchedule[[#Headers],[PMT NO]])&gt;ScheduledNumberOfPayments,"",ROW()-ROW(PaymentSchedule[[#Headers],[PMT NO]])),"")</f>
        <v>57</v>
      </c>
      <c r="C83" s="5">
        <f>IF(PaymentSchedule[[#This Row],[PMT NO]]&lt;&gt;"",EOMONTH(LoanStartDate,ROW(PaymentSchedule[[#This Row],[PMT NO]])-ROW(PaymentSchedule[[#Headers],[PMT NO]])-2)+DAY(LoanStartDate),"")</f>
        <v>47757</v>
      </c>
      <c r="D83" s="6">
        <f>IF(PaymentSchedule[[#This Row],[PMT NO]]&lt;&gt;"",IF(ROW()-ROW(PaymentSchedule[[#Headers],[BEGINNING BALANCE]])=1,LoanAmount,INDEX(PaymentSchedule[ENDING BALANCE],ROW()-ROW(PaymentSchedule[[#Headers],[BEGINNING BALANCE]])-1)),"")</f>
        <v>131018.75416908326</v>
      </c>
      <c r="E83" s="6">
        <f>IF(PaymentSchedule[[#This Row],[PMT NO]]&lt;&gt;"",ScheduledPayment,"")</f>
        <v>839.37073521385321</v>
      </c>
      <c r="F83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83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83" s="6">
        <f>IF(PaymentSchedule[[#This Row],[PMT NO]]&lt;&gt;"",PaymentSchedule[[#This Row],[TOTAL PAYMENT]]-PaymentSchedule[[#This Row],[INTEREST]],"")</f>
        <v>184.27696436843689</v>
      </c>
      <c r="I83" s="6">
        <f>IF(PaymentSchedule[[#This Row],[PMT NO]]&lt;&gt;"",PaymentSchedule[[#This Row],[BEGINNING BALANCE]]*(InterestRate/PaymentsPerYear),"")</f>
        <v>655.09377084541632</v>
      </c>
      <c r="J83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130834.47720471481</v>
      </c>
      <c r="K83" s="6">
        <f>IF(PaymentSchedule[[#This Row],[PMT NO]]&lt;&gt;"",SUM(INDEX(PaymentSchedule[INTEREST],1,1):PaymentSchedule[[#This Row],[INTEREST]]),"")</f>
        <v>38678.609111904458</v>
      </c>
    </row>
    <row r="84" spans="2:11" x14ac:dyDescent="0.2">
      <c r="B84" s="4">
        <f>IF(LoanIsGood,IF(ROW()-ROW(PaymentSchedule[[#Headers],[PMT NO]])&gt;ScheduledNumberOfPayments,"",ROW()-ROW(PaymentSchedule[[#Headers],[PMT NO]])),"")</f>
        <v>58</v>
      </c>
      <c r="C84" s="5">
        <f>IF(PaymentSchedule[[#This Row],[PMT NO]]&lt;&gt;"",EOMONTH(LoanStartDate,ROW(PaymentSchedule[[#This Row],[PMT NO]])-ROW(PaymentSchedule[[#Headers],[PMT NO]])-2)+DAY(LoanStartDate),"")</f>
        <v>47788</v>
      </c>
      <c r="D84" s="6">
        <f>IF(PaymentSchedule[[#This Row],[PMT NO]]&lt;&gt;"",IF(ROW()-ROW(PaymentSchedule[[#Headers],[BEGINNING BALANCE]])=1,LoanAmount,INDEX(PaymentSchedule[ENDING BALANCE],ROW()-ROW(PaymentSchedule[[#Headers],[BEGINNING BALANCE]])-1)),"")</f>
        <v>130834.47720471481</v>
      </c>
      <c r="E84" s="6">
        <f>IF(PaymentSchedule[[#This Row],[PMT NO]]&lt;&gt;"",ScheduledPayment,"")</f>
        <v>839.37073521385321</v>
      </c>
      <c r="F84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84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84" s="6">
        <f>IF(PaymentSchedule[[#This Row],[PMT NO]]&lt;&gt;"",PaymentSchedule[[#This Row],[TOTAL PAYMENT]]-PaymentSchedule[[#This Row],[INTEREST]],"")</f>
        <v>185.19834919027915</v>
      </c>
      <c r="I84" s="6">
        <f>IF(PaymentSchedule[[#This Row],[PMT NO]]&lt;&gt;"",PaymentSchedule[[#This Row],[BEGINNING BALANCE]]*(InterestRate/PaymentsPerYear),"")</f>
        <v>654.17238602357406</v>
      </c>
      <c r="J84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130649.27885552454</v>
      </c>
      <c r="K84" s="6">
        <f>IF(PaymentSchedule[[#This Row],[PMT NO]]&lt;&gt;"",SUM(INDEX(PaymentSchedule[INTEREST],1,1):PaymentSchedule[[#This Row],[INTEREST]]),"")</f>
        <v>39332.78149792803</v>
      </c>
    </row>
    <row r="85" spans="2:11" x14ac:dyDescent="0.2">
      <c r="B85" s="4">
        <f>IF(LoanIsGood,IF(ROW()-ROW(PaymentSchedule[[#Headers],[PMT NO]])&gt;ScheduledNumberOfPayments,"",ROW()-ROW(PaymentSchedule[[#Headers],[PMT NO]])),"")</f>
        <v>59</v>
      </c>
      <c r="C85" s="5">
        <f>IF(PaymentSchedule[[#This Row],[PMT NO]]&lt;&gt;"",EOMONTH(LoanStartDate,ROW(PaymentSchedule[[#This Row],[PMT NO]])-ROW(PaymentSchedule[[#Headers],[PMT NO]])-2)+DAY(LoanStartDate),"")</f>
        <v>47818</v>
      </c>
      <c r="D85" s="6">
        <f>IF(PaymentSchedule[[#This Row],[PMT NO]]&lt;&gt;"",IF(ROW()-ROW(PaymentSchedule[[#Headers],[BEGINNING BALANCE]])=1,LoanAmount,INDEX(PaymentSchedule[ENDING BALANCE],ROW()-ROW(PaymentSchedule[[#Headers],[BEGINNING BALANCE]])-1)),"")</f>
        <v>130649.27885552454</v>
      </c>
      <c r="E85" s="6">
        <f>IF(PaymentSchedule[[#This Row],[PMT NO]]&lt;&gt;"",ScheduledPayment,"")</f>
        <v>839.37073521385321</v>
      </c>
      <c r="F85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85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85" s="6">
        <f>IF(PaymentSchedule[[#This Row],[PMT NO]]&lt;&gt;"",PaymentSchedule[[#This Row],[TOTAL PAYMENT]]-PaymentSchedule[[#This Row],[INTEREST]],"")</f>
        <v>186.12434093623051</v>
      </c>
      <c r="I85" s="6">
        <f>IF(PaymentSchedule[[#This Row],[PMT NO]]&lt;&gt;"",PaymentSchedule[[#This Row],[BEGINNING BALANCE]]*(InterestRate/PaymentsPerYear),"")</f>
        <v>653.2463942776227</v>
      </c>
      <c r="J85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130463.1545145883</v>
      </c>
      <c r="K85" s="6">
        <f>IF(PaymentSchedule[[#This Row],[PMT NO]]&lt;&gt;"",SUM(INDEX(PaymentSchedule[INTEREST],1,1):PaymentSchedule[[#This Row],[INTEREST]]),"")</f>
        <v>39986.027892205653</v>
      </c>
    </row>
    <row r="86" spans="2:11" x14ac:dyDescent="0.2">
      <c r="B86" s="4">
        <f>IF(LoanIsGood,IF(ROW()-ROW(PaymentSchedule[[#Headers],[PMT NO]])&gt;ScheduledNumberOfPayments,"",ROW()-ROW(PaymentSchedule[[#Headers],[PMT NO]])),"")</f>
        <v>60</v>
      </c>
      <c r="C86" s="5">
        <f>IF(PaymentSchedule[[#This Row],[PMT NO]]&lt;&gt;"",EOMONTH(LoanStartDate,ROW(PaymentSchedule[[#This Row],[PMT NO]])-ROW(PaymentSchedule[[#Headers],[PMT NO]])-2)+DAY(LoanStartDate),"")</f>
        <v>47849</v>
      </c>
      <c r="D86" s="6">
        <f>IF(PaymentSchedule[[#This Row],[PMT NO]]&lt;&gt;"",IF(ROW()-ROW(PaymentSchedule[[#Headers],[BEGINNING BALANCE]])=1,LoanAmount,INDEX(PaymentSchedule[ENDING BALANCE],ROW()-ROW(PaymentSchedule[[#Headers],[BEGINNING BALANCE]])-1)),"")</f>
        <v>130463.1545145883</v>
      </c>
      <c r="E86" s="6">
        <f>IF(PaymentSchedule[[#This Row],[PMT NO]]&lt;&gt;"",ScheduledPayment,"")</f>
        <v>839.37073521385321</v>
      </c>
      <c r="F86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86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86" s="6">
        <f>IF(PaymentSchedule[[#This Row],[PMT NO]]&lt;&gt;"",PaymentSchedule[[#This Row],[TOTAL PAYMENT]]-PaymentSchedule[[#This Row],[INTEREST]],"")</f>
        <v>187.05496264091175</v>
      </c>
      <c r="I86" s="6">
        <f>IF(PaymentSchedule[[#This Row],[PMT NO]]&lt;&gt;"",PaymentSchedule[[#This Row],[BEGINNING BALANCE]]*(InterestRate/PaymentsPerYear),"")</f>
        <v>652.31577257294146</v>
      </c>
      <c r="J86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130276.09955194739</v>
      </c>
      <c r="K86" s="6">
        <f>IF(PaymentSchedule[[#This Row],[PMT NO]]&lt;&gt;"",SUM(INDEX(PaymentSchedule[INTEREST],1,1):PaymentSchedule[[#This Row],[INTEREST]]),"")</f>
        <v>40638.343664778593</v>
      </c>
    </row>
    <row r="87" spans="2:11" x14ac:dyDescent="0.2">
      <c r="B87" s="4">
        <f>IF(LoanIsGood,IF(ROW()-ROW(PaymentSchedule[[#Headers],[PMT NO]])&gt;ScheduledNumberOfPayments,"",ROW()-ROW(PaymentSchedule[[#Headers],[PMT NO]])),"")</f>
        <v>61</v>
      </c>
      <c r="C87" s="5">
        <f>IF(PaymentSchedule[[#This Row],[PMT NO]]&lt;&gt;"",EOMONTH(LoanStartDate,ROW(PaymentSchedule[[#This Row],[PMT NO]])-ROW(PaymentSchedule[[#Headers],[PMT NO]])-2)+DAY(LoanStartDate),"")</f>
        <v>47880</v>
      </c>
      <c r="D87" s="6">
        <f>IF(PaymentSchedule[[#This Row],[PMT NO]]&lt;&gt;"",IF(ROW()-ROW(PaymentSchedule[[#Headers],[BEGINNING BALANCE]])=1,LoanAmount,INDEX(PaymentSchedule[ENDING BALANCE],ROW()-ROW(PaymentSchedule[[#Headers],[BEGINNING BALANCE]])-1)),"")</f>
        <v>130276.09955194739</v>
      </c>
      <c r="E87" s="6">
        <f>IF(PaymentSchedule[[#This Row],[PMT NO]]&lt;&gt;"",ScheduledPayment,"")</f>
        <v>839.37073521385321</v>
      </c>
      <c r="F87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87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87" s="6">
        <f>IF(PaymentSchedule[[#This Row],[PMT NO]]&lt;&gt;"",PaymentSchedule[[#This Row],[TOTAL PAYMENT]]-PaymentSchedule[[#This Row],[INTEREST]],"")</f>
        <v>187.99023745411625</v>
      </c>
      <c r="I87" s="6">
        <f>IF(PaymentSchedule[[#This Row],[PMT NO]]&lt;&gt;"",PaymentSchedule[[#This Row],[BEGINNING BALANCE]]*(InterestRate/PaymentsPerYear),"")</f>
        <v>651.38049775973695</v>
      </c>
      <c r="J87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130088.10931449328</v>
      </c>
      <c r="K87" s="6">
        <f>IF(PaymentSchedule[[#This Row],[PMT NO]]&lt;&gt;"",SUM(INDEX(PaymentSchedule[INTEREST],1,1):PaymentSchedule[[#This Row],[INTEREST]]),"")</f>
        <v>41289.724162538332</v>
      </c>
    </row>
    <row r="88" spans="2:11" x14ac:dyDescent="0.2">
      <c r="B88" s="4">
        <f>IF(LoanIsGood,IF(ROW()-ROW(PaymentSchedule[[#Headers],[PMT NO]])&gt;ScheduledNumberOfPayments,"",ROW()-ROW(PaymentSchedule[[#Headers],[PMT NO]])),"")</f>
        <v>62</v>
      </c>
      <c r="C88" s="5">
        <f>IF(PaymentSchedule[[#This Row],[PMT NO]]&lt;&gt;"",EOMONTH(LoanStartDate,ROW(PaymentSchedule[[#This Row],[PMT NO]])-ROW(PaymentSchedule[[#Headers],[PMT NO]])-2)+DAY(LoanStartDate),"")</f>
        <v>47908</v>
      </c>
      <c r="D88" s="6">
        <f>IF(PaymentSchedule[[#This Row],[PMT NO]]&lt;&gt;"",IF(ROW()-ROW(PaymentSchedule[[#Headers],[BEGINNING BALANCE]])=1,LoanAmount,INDEX(PaymentSchedule[ENDING BALANCE],ROW()-ROW(PaymentSchedule[[#Headers],[BEGINNING BALANCE]])-1)),"")</f>
        <v>130088.10931449328</v>
      </c>
      <c r="E88" s="6">
        <f>IF(PaymentSchedule[[#This Row],[PMT NO]]&lt;&gt;"",ScheduledPayment,"")</f>
        <v>839.37073521385321</v>
      </c>
      <c r="F88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88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88" s="6">
        <f>IF(PaymentSchedule[[#This Row],[PMT NO]]&lt;&gt;"",PaymentSchedule[[#This Row],[TOTAL PAYMENT]]-PaymentSchedule[[#This Row],[INTEREST]],"")</f>
        <v>188.93018864138674</v>
      </c>
      <c r="I88" s="6">
        <f>IF(PaymentSchedule[[#This Row],[PMT NO]]&lt;&gt;"",PaymentSchedule[[#This Row],[BEGINNING BALANCE]]*(InterestRate/PaymentsPerYear),"")</f>
        <v>650.44054657246647</v>
      </c>
      <c r="J88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129899.17912585189</v>
      </c>
      <c r="K88" s="6">
        <f>IF(PaymentSchedule[[#This Row],[PMT NO]]&lt;&gt;"",SUM(INDEX(PaymentSchedule[INTEREST],1,1):PaymentSchedule[[#This Row],[INTEREST]]),"")</f>
        <v>41940.164709110795</v>
      </c>
    </row>
    <row r="89" spans="2:11" x14ac:dyDescent="0.2">
      <c r="B89" s="4">
        <f>IF(LoanIsGood,IF(ROW()-ROW(PaymentSchedule[[#Headers],[PMT NO]])&gt;ScheduledNumberOfPayments,"",ROW()-ROW(PaymentSchedule[[#Headers],[PMT NO]])),"")</f>
        <v>63</v>
      </c>
      <c r="C89" s="5">
        <f>IF(PaymentSchedule[[#This Row],[PMT NO]]&lt;&gt;"",EOMONTH(LoanStartDate,ROW(PaymentSchedule[[#This Row],[PMT NO]])-ROW(PaymentSchedule[[#Headers],[PMT NO]])-2)+DAY(LoanStartDate),"")</f>
        <v>47939</v>
      </c>
      <c r="D89" s="6">
        <f>IF(PaymentSchedule[[#This Row],[PMT NO]]&lt;&gt;"",IF(ROW()-ROW(PaymentSchedule[[#Headers],[BEGINNING BALANCE]])=1,LoanAmount,INDEX(PaymentSchedule[ENDING BALANCE],ROW()-ROW(PaymentSchedule[[#Headers],[BEGINNING BALANCE]])-1)),"")</f>
        <v>129899.17912585189</v>
      </c>
      <c r="E89" s="6">
        <f>IF(PaymentSchedule[[#This Row],[PMT NO]]&lt;&gt;"",ScheduledPayment,"")</f>
        <v>839.37073521385321</v>
      </c>
      <c r="F89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89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89" s="6">
        <f>IF(PaymentSchedule[[#This Row],[PMT NO]]&lt;&gt;"",PaymentSchedule[[#This Row],[TOTAL PAYMENT]]-PaymentSchedule[[#This Row],[INTEREST]],"")</f>
        <v>189.8748395845937</v>
      </c>
      <c r="I89" s="6">
        <f>IF(PaymentSchedule[[#This Row],[PMT NO]]&lt;&gt;"",PaymentSchedule[[#This Row],[BEGINNING BALANCE]]*(InterestRate/PaymentsPerYear),"")</f>
        <v>649.49589562925951</v>
      </c>
      <c r="J89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129709.3042862673</v>
      </c>
      <c r="K89" s="6">
        <f>IF(PaymentSchedule[[#This Row],[PMT NO]]&lt;&gt;"",SUM(INDEX(PaymentSchedule[INTEREST],1,1):PaymentSchedule[[#This Row],[INTEREST]]),"")</f>
        <v>42589.660604740056</v>
      </c>
    </row>
    <row r="90" spans="2:11" x14ac:dyDescent="0.2">
      <c r="B90" s="4">
        <f>IF(LoanIsGood,IF(ROW()-ROW(PaymentSchedule[[#Headers],[PMT NO]])&gt;ScheduledNumberOfPayments,"",ROW()-ROW(PaymentSchedule[[#Headers],[PMT NO]])),"")</f>
        <v>64</v>
      </c>
      <c r="C90" s="5">
        <f>IF(PaymentSchedule[[#This Row],[PMT NO]]&lt;&gt;"",EOMONTH(LoanStartDate,ROW(PaymentSchedule[[#This Row],[PMT NO]])-ROW(PaymentSchedule[[#Headers],[PMT NO]])-2)+DAY(LoanStartDate),"")</f>
        <v>47969</v>
      </c>
      <c r="D90" s="6">
        <f>IF(PaymentSchedule[[#This Row],[PMT NO]]&lt;&gt;"",IF(ROW()-ROW(PaymentSchedule[[#Headers],[BEGINNING BALANCE]])=1,LoanAmount,INDEX(PaymentSchedule[ENDING BALANCE],ROW()-ROW(PaymentSchedule[[#Headers],[BEGINNING BALANCE]])-1)),"")</f>
        <v>129709.3042862673</v>
      </c>
      <c r="E90" s="6">
        <f>IF(PaymentSchedule[[#This Row],[PMT NO]]&lt;&gt;"",ScheduledPayment,"")</f>
        <v>839.37073521385321</v>
      </c>
      <c r="F90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90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90" s="6">
        <f>IF(PaymentSchedule[[#This Row],[PMT NO]]&lt;&gt;"",PaymentSchedule[[#This Row],[TOTAL PAYMENT]]-PaymentSchedule[[#This Row],[INTEREST]],"")</f>
        <v>190.82421378251672</v>
      </c>
      <c r="I90" s="6">
        <f>IF(PaymentSchedule[[#This Row],[PMT NO]]&lt;&gt;"",PaymentSchedule[[#This Row],[BEGINNING BALANCE]]*(InterestRate/PaymentsPerYear),"")</f>
        <v>648.54652143133649</v>
      </c>
      <c r="J90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129518.48007248479</v>
      </c>
      <c r="K90" s="6">
        <f>IF(PaymentSchedule[[#This Row],[PMT NO]]&lt;&gt;"",SUM(INDEX(PaymentSchedule[INTEREST],1,1):PaymentSchedule[[#This Row],[INTEREST]]),"")</f>
        <v>43238.207126171394</v>
      </c>
    </row>
    <row r="91" spans="2:11" x14ac:dyDescent="0.2">
      <c r="B91" s="4">
        <f>IF(LoanIsGood,IF(ROW()-ROW(PaymentSchedule[[#Headers],[PMT NO]])&gt;ScheduledNumberOfPayments,"",ROW()-ROW(PaymentSchedule[[#Headers],[PMT NO]])),"")</f>
        <v>65</v>
      </c>
      <c r="C91" s="5">
        <f>IF(PaymentSchedule[[#This Row],[PMT NO]]&lt;&gt;"",EOMONTH(LoanStartDate,ROW(PaymentSchedule[[#This Row],[PMT NO]])-ROW(PaymentSchedule[[#Headers],[PMT NO]])-2)+DAY(LoanStartDate),"")</f>
        <v>48000</v>
      </c>
      <c r="D91" s="6">
        <f>IF(PaymentSchedule[[#This Row],[PMT NO]]&lt;&gt;"",IF(ROW()-ROW(PaymentSchedule[[#Headers],[BEGINNING BALANCE]])=1,LoanAmount,INDEX(PaymentSchedule[ENDING BALANCE],ROW()-ROW(PaymentSchedule[[#Headers],[BEGINNING BALANCE]])-1)),"")</f>
        <v>129518.48007248479</v>
      </c>
      <c r="E91" s="6">
        <f>IF(PaymentSchedule[[#This Row],[PMT NO]]&lt;&gt;"",ScheduledPayment,"")</f>
        <v>839.37073521385321</v>
      </c>
      <c r="F91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91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91" s="6">
        <f>IF(PaymentSchedule[[#This Row],[PMT NO]]&lt;&gt;"",PaymentSchedule[[#This Row],[TOTAL PAYMENT]]-PaymentSchedule[[#This Row],[INTEREST]],"")</f>
        <v>191.77833485142924</v>
      </c>
      <c r="I91" s="6">
        <f>IF(PaymentSchedule[[#This Row],[PMT NO]]&lt;&gt;"",PaymentSchedule[[#This Row],[BEGINNING BALANCE]]*(InterestRate/PaymentsPerYear),"")</f>
        <v>647.59240036242397</v>
      </c>
      <c r="J91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129326.70173763335</v>
      </c>
      <c r="K91" s="6">
        <f>IF(PaymentSchedule[[#This Row],[PMT NO]]&lt;&gt;"",SUM(INDEX(PaymentSchedule[INTEREST],1,1):PaymentSchedule[[#This Row],[INTEREST]]),"")</f>
        <v>43885.799526533818</v>
      </c>
    </row>
    <row r="92" spans="2:11" x14ac:dyDescent="0.2">
      <c r="B92" s="4">
        <f>IF(LoanIsGood,IF(ROW()-ROW(PaymentSchedule[[#Headers],[PMT NO]])&gt;ScheduledNumberOfPayments,"",ROW()-ROW(PaymentSchedule[[#Headers],[PMT NO]])),"")</f>
        <v>66</v>
      </c>
      <c r="C92" s="5">
        <f>IF(PaymentSchedule[[#This Row],[PMT NO]]&lt;&gt;"",EOMONTH(LoanStartDate,ROW(PaymentSchedule[[#This Row],[PMT NO]])-ROW(PaymentSchedule[[#Headers],[PMT NO]])-2)+DAY(LoanStartDate),"")</f>
        <v>48030</v>
      </c>
      <c r="D92" s="6">
        <f>IF(PaymentSchedule[[#This Row],[PMT NO]]&lt;&gt;"",IF(ROW()-ROW(PaymentSchedule[[#Headers],[BEGINNING BALANCE]])=1,LoanAmount,INDEX(PaymentSchedule[ENDING BALANCE],ROW()-ROW(PaymentSchedule[[#Headers],[BEGINNING BALANCE]])-1)),"")</f>
        <v>129326.70173763335</v>
      </c>
      <c r="E92" s="6">
        <f>IF(PaymentSchedule[[#This Row],[PMT NO]]&lt;&gt;"",ScheduledPayment,"")</f>
        <v>839.37073521385321</v>
      </c>
      <c r="F92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92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92" s="6">
        <f>IF(PaymentSchedule[[#This Row],[PMT NO]]&lt;&gt;"",PaymentSchedule[[#This Row],[TOTAL PAYMENT]]-PaymentSchedule[[#This Row],[INTEREST]],"")</f>
        <v>192.73722652568642</v>
      </c>
      <c r="I92" s="6">
        <f>IF(PaymentSchedule[[#This Row],[PMT NO]]&lt;&gt;"",PaymentSchedule[[#This Row],[BEGINNING BALANCE]]*(InterestRate/PaymentsPerYear),"")</f>
        <v>646.63350868816678</v>
      </c>
      <c r="J92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129133.96451110767</v>
      </c>
      <c r="K92" s="6">
        <f>IF(PaymentSchedule[[#This Row],[PMT NO]]&lt;&gt;"",SUM(INDEX(PaymentSchedule[INTEREST],1,1):PaymentSchedule[[#This Row],[INTEREST]]),"")</f>
        <v>44532.433035221984</v>
      </c>
    </row>
    <row r="93" spans="2:11" x14ac:dyDescent="0.2">
      <c r="B93" s="4">
        <f>IF(LoanIsGood,IF(ROW()-ROW(PaymentSchedule[[#Headers],[PMT NO]])&gt;ScheduledNumberOfPayments,"",ROW()-ROW(PaymentSchedule[[#Headers],[PMT NO]])),"")</f>
        <v>67</v>
      </c>
      <c r="C93" s="5">
        <f>IF(PaymentSchedule[[#This Row],[PMT NO]]&lt;&gt;"",EOMONTH(LoanStartDate,ROW(PaymentSchedule[[#This Row],[PMT NO]])-ROW(PaymentSchedule[[#Headers],[PMT NO]])-2)+DAY(LoanStartDate),"")</f>
        <v>48061</v>
      </c>
      <c r="D93" s="6">
        <f>IF(PaymentSchedule[[#This Row],[PMT NO]]&lt;&gt;"",IF(ROW()-ROW(PaymentSchedule[[#Headers],[BEGINNING BALANCE]])=1,LoanAmount,INDEX(PaymentSchedule[ENDING BALANCE],ROW()-ROW(PaymentSchedule[[#Headers],[BEGINNING BALANCE]])-1)),"")</f>
        <v>129133.96451110767</v>
      </c>
      <c r="E93" s="6">
        <f>IF(PaymentSchedule[[#This Row],[PMT NO]]&lt;&gt;"",ScheduledPayment,"")</f>
        <v>839.37073521385321</v>
      </c>
      <c r="F93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93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93" s="6">
        <f>IF(PaymentSchedule[[#This Row],[PMT NO]]&lt;&gt;"",PaymentSchedule[[#This Row],[TOTAL PAYMENT]]-PaymentSchedule[[#This Row],[INTEREST]],"")</f>
        <v>193.70091265831491</v>
      </c>
      <c r="I93" s="6">
        <f>IF(PaymentSchedule[[#This Row],[PMT NO]]&lt;&gt;"",PaymentSchedule[[#This Row],[BEGINNING BALANCE]]*(InterestRate/PaymentsPerYear),"")</f>
        <v>645.6698225555383</v>
      </c>
      <c r="J93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128940.26359844935</v>
      </c>
      <c r="K93" s="6">
        <f>IF(PaymentSchedule[[#This Row],[PMT NO]]&lt;&gt;"",SUM(INDEX(PaymentSchedule[INTEREST],1,1):PaymentSchedule[[#This Row],[INTEREST]]),"")</f>
        <v>45178.102857777521</v>
      </c>
    </row>
    <row r="94" spans="2:11" x14ac:dyDescent="0.2">
      <c r="B94" s="4">
        <f>IF(LoanIsGood,IF(ROW()-ROW(PaymentSchedule[[#Headers],[PMT NO]])&gt;ScheduledNumberOfPayments,"",ROW()-ROW(PaymentSchedule[[#Headers],[PMT NO]])),"")</f>
        <v>68</v>
      </c>
      <c r="C94" s="5">
        <f>IF(PaymentSchedule[[#This Row],[PMT NO]]&lt;&gt;"",EOMONTH(LoanStartDate,ROW(PaymentSchedule[[#This Row],[PMT NO]])-ROW(PaymentSchedule[[#Headers],[PMT NO]])-2)+DAY(LoanStartDate),"")</f>
        <v>48092</v>
      </c>
      <c r="D94" s="6">
        <f>IF(PaymentSchedule[[#This Row],[PMT NO]]&lt;&gt;"",IF(ROW()-ROW(PaymentSchedule[[#Headers],[BEGINNING BALANCE]])=1,LoanAmount,INDEX(PaymentSchedule[ENDING BALANCE],ROW()-ROW(PaymentSchedule[[#Headers],[BEGINNING BALANCE]])-1)),"")</f>
        <v>128940.26359844935</v>
      </c>
      <c r="E94" s="6">
        <f>IF(PaymentSchedule[[#This Row],[PMT NO]]&lt;&gt;"",ScheduledPayment,"")</f>
        <v>839.37073521385321</v>
      </c>
      <c r="F94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94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94" s="6">
        <f>IF(PaymentSchedule[[#This Row],[PMT NO]]&lt;&gt;"",PaymentSchedule[[#This Row],[TOTAL PAYMENT]]-PaymentSchedule[[#This Row],[INTEREST]],"")</f>
        <v>194.66941722160641</v>
      </c>
      <c r="I94" s="6">
        <f>IF(PaymentSchedule[[#This Row],[PMT NO]]&lt;&gt;"",PaymentSchedule[[#This Row],[BEGINNING BALANCE]]*(InterestRate/PaymentsPerYear),"")</f>
        <v>644.7013179922468</v>
      </c>
      <c r="J94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128745.59418122775</v>
      </c>
      <c r="K94" s="6">
        <f>IF(PaymentSchedule[[#This Row],[PMT NO]]&lt;&gt;"",SUM(INDEX(PaymentSchedule[INTEREST],1,1):PaymentSchedule[[#This Row],[INTEREST]]),"")</f>
        <v>45822.804175769765</v>
      </c>
    </row>
    <row r="95" spans="2:11" x14ac:dyDescent="0.2">
      <c r="B95" s="4">
        <f>IF(LoanIsGood,IF(ROW()-ROW(PaymentSchedule[[#Headers],[PMT NO]])&gt;ScheduledNumberOfPayments,"",ROW()-ROW(PaymentSchedule[[#Headers],[PMT NO]])),"")</f>
        <v>69</v>
      </c>
      <c r="C95" s="5">
        <f>IF(PaymentSchedule[[#This Row],[PMT NO]]&lt;&gt;"",EOMONTH(LoanStartDate,ROW(PaymentSchedule[[#This Row],[PMT NO]])-ROW(PaymentSchedule[[#Headers],[PMT NO]])-2)+DAY(LoanStartDate),"")</f>
        <v>48122</v>
      </c>
      <c r="D95" s="6">
        <f>IF(PaymentSchedule[[#This Row],[PMT NO]]&lt;&gt;"",IF(ROW()-ROW(PaymentSchedule[[#Headers],[BEGINNING BALANCE]])=1,LoanAmount,INDEX(PaymentSchedule[ENDING BALANCE],ROW()-ROW(PaymentSchedule[[#Headers],[BEGINNING BALANCE]])-1)),"")</f>
        <v>128745.59418122775</v>
      </c>
      <c r="E95" s="6">
        <f>IF(PaymentSchedule[[#This Row],[PMT NO]]&lt;&gt;"",ScheduledPayment,"")</f>
        <v>839.37073521385321</v>
      </c>
      <c r="F95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95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95" s="6">
        <f>IF(PaymentSchedule[[#This Row],[PMT NO]]&lt;&gt;"",PaymentSchedule[[#This Row],[TOTAL PAYMENT]]-PaymentSchedule[[#This Row],[INTEREST]],"")</f>
        <v>195.64276430771451</v>
      </c>
      <c r="I95" s="6">
        <f>IF(PaymentSchedule[[#This Row],[PMT NO]]&lt;&gt;"",PaymentSchedule[[#This Row],[BEGINNING BALANCE]]*(InterestRate/PaymentsPerYear),"")</f>
        <v>643.72797090613869</v>
      </c>
      <c r="J95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128549.95141692003</v>
      </c>
      <c r="K95" s="6">
        <f>IF(PaymentSchedule[[#This Row],[PMT NO]]&lt;&gt;"",SUM(INDEX(PaymentSchedule[INTEREST],1,1):PaymentSchedule[[#This Row],[INTEREST]]),"")</f>
        <v>46466.532146675905</v>
      </c>
    </row>
    <row r="96" spans="2:11" x14ac:dyDescent="0.2">
      <c r="B96" s="4">
        <f>IF(LoanIsGood,IF(ROW()-ROW(PaymentSchedule[[#Headers],[PMT NO]])&gt;ScheduledNumberOfPayments,"",ROW()-ROW(PaymentSchedule[[#Headers],[PMT NO]])),"")</f>
        <v>70</v>
      </c>
      <c r="C96" s="5">
        <f>IF(PaymentSchedule[[#This Row],[PMT NO]]&lt;&gt;"",EOMONTH(LoanStartDate,ROW(PaymentSchedule[[#This Row],[PMT NO]])-ROW(PaymentSchedule[[#Headers],[PMT NO]])-2)+DAY(LoanStartDate),"")</f>
        <v>48153</v>
      </c>
      <c r="D96" s="6">
        <f>IF(PaymentSchedule[[#This Row],[PMT NO]]&lt;&gt;"",IF(ROW()-ROW(PaymentSchedule[[#Headers],[BEGINNING BALANCE]])=1,LoanAmount,INDEX(PaymentSchedule[ENDING BALANCE],ROW()-ROW(PaymentSchedule[[#Headers],[BEGINNING BALANCE]])-1)),"")</f>
        <v>128549.95141692003</v>
      </c>
      <c r="E96" s="6">
        <f>IF(PaymentSchedule[[#This Row],[PMT NO]]&lt;&gt;"",ScheduledPayment,"")</f>
        <v>839.37073521385321</v>
      </c>
      <c r="F96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96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96" s="6">
        <f>IF(PaymentSchedule[[#This Row],[PMT NO]]&lt;&gt;"",PaymentSchedule[[#This Row],[TOTAL PAYMENT]]-PaymentSchedule[[#This Row],[INTEREST]],"")</f>
        <v>196.6209781292531</v>
      </c>
      <c r="I96" s="6">
        <f>IF(PaymentSchedule[[#This Row],[PMT NO]]&lt;&gt;"",PaymentSchedule[[#This Row],[BEGINNING BALANCE]]*(InterestRate/PaymentsPerYear),"")</f>
        <v>642.74975708460011</v>
      </c>
      <c r="J96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128353.33043879077</v>
      </c>
      <c r="K96" s="6">
        <f>IF(PaymentSchedule[[#This Row],[PMT NO]]&lt;&gt;"",SUM(INDEX(PaymentSchedule[INTEREST],1,1):PaymentSchedule[[#This Row],[INTEREST]]),"")</f>
        <v>47109.281903760508</v>
      </c>
    </row>
    <row r="97" spans="2:11" x14ac:dyDescent="0.2">
      <c r="B97" s="4">
        <f>IF(LoanIsGood,IF(ROW()-ROW(PaymentSchedule[[#Headers],[PMT NO]])&gt;ScheduledNumberOfPayments,"",ROW()-ROW(PaymentSchedule[[#Headers],[PMT NO]])),"")</f>
        <v>71</v>
      </c>
      <c r="C97" s="5">
        <f>IF(PaymentSchedule[[#This Row],[PMT NO]]&lt;&gt;"",EOMONTH(LoanStartDate,ROW(PaymentSchedule[[#This Row],[PMT NO]])-ROW(PaymentSchedule[[#Headers],[PMT NO]])-2)+DAY(LoanStartDate),"")</f>
        <v>48183</v>
      </c>
      <c r="D97" s="6">
        <f>IF(PaymentSchedule[[#This Row],[PMT NO]]&lt;&gt;"",IF(ROW()-ROW(PaymentSchedule[[#Headers],[BEGINNING BALANCE]])=1,LoanAmount,INDEX(PaymentSchedule[ENDING BALANCE],ROW()-ROW(PaymentSchedule[[#Headers],[BEGINNING BALANCE]])-1)),"")</f>
        <v>128353.33043879077</v>
      </c>
      <c r="E97" s="6">
        <f>IF(PaymentSchedule[[#This Row],[PMT NO]]&lt;&gt;"",ScheduledPayment,"")</f>
        <v>839.37073521385321</v>
      </c>
      <c r="F97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97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97" s="6">
        <f>IF(PaymentSchedule[[#This Row],[PMT NO]]&lt;&gt;"",PaymentSchedule[[#This Row],[TOTAL PAYMENT]]-PaymentSchedule[[#This Row],[INTEREST]],"")</f>
        <v>197.60408301989935</v>
      </c>
      <c r="I97" s="6">
        <f>IF(PaymentSchedule[[#This Row],[PMT NO]]&lt;&gt;"",PaymentSchedule[[#This Row],[BEGINNING BALANCE]]*(InterestRate/PaymentsPerYear),"")</f>
        <v>641.76665219395386</v>
      </c>
      <c r="J97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128155.72635577086</v>
      </c>
      <c r="K97" s="6">
        <f>IF(PaymentSchedule[[#This Row],[PMT NO]]&lt;&gt;"",SUM(INDEX(PaymentSchedule[INTEREST],1,1):PaymentSchedule[[#This Row],[INTEREST]]),"")</f>
        <v>47751.048555954461</v>
      </c>
    </row>
    <row r="98" spans="2:11" x14ac:dyDescent="0.2">
      <c r="B98" s="4">
        <f>IF(LoanIsGood,IF(ROW()-ROW(PaymentSchedule[[#Headers],[PMT NO]])&gt;ScheduledNumberOfPayments,"",ROW()-ROW(PaymentSchedule[[#Headers],[PMT NO]])),"")</f>
        <v>72</v>
      </c>
      <c r="C98" s="5">
        <f>IF(PaymentSchedule[[#This Row],[PMT NO]]&lt;&gt;"",EOMONTH(LoanStartDate,ROW(PaymentSchedule[[#This Row],[PMT NO]])-ROW(PaymentSchedule[[#Headers],[PMT NO]])-2)+DAY(LoanStartDate),"")</f>
        <v>48214</v>
      </c>
      <c r="D98" s="6">
        <f>IF(PaymentSchedule[[#This Row],[PMT NO]]&lt;&gt;"",IF(ROW()-ROW(PaymentSchedule[[#Headers],[BEGINNING BALANCE]])=1,LoanAmount,INDEX(PaymentSchedule[ENDING BALANCE],ROW()-ROW(PaymentSchedule[[#Headers],[BEGINNING BALANCE]])-1)),"")</f>
        <v>128155.72635577086</v>
      </c>
      <c r="E98" s="6">
        <f>IF(PaymentSchedule[[#This Row],[PMT NO]]&lt;&gt;"",ScheduledPayment,"")</f>
        <v>839.37073521385321</v>
      </c>
      <c r="F98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98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98" s="6">
        <f>IF(PaymentSchedule[[#This Row],[PMT NO]]&lt;&gt;"",PaymentSchedule[[#This Row],[TOTAL PAYMENT]]-PaymentSchedule[[#This Row],[INTEREST]],"")</f>
        <v>198.59210343499888</v>
      </c>
      <c r="I98" s="6">
        <f>IF(PaymentSchedule[[#This Row],[PMT NO]]&lt;&gt;"",PaymentSchedule[[#This Row],[BEGINNING BALANCE]]*(InterestRate/PaymentsPerYear),"")</f>
        <v>640.77863177885433</v>
      </c>
      <c r="J98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127957.13425233586</v>
      </c>
      <c r="K98" s="6">
        <f>IF(PaymentSchedule[[#This Row],[PMT NO]]&lt;&gt;"",SUM(INDEX(PaymentSchedule[INTEREST],1,1):PaymentSchedule[[#This Row],[INTEREST]]),"")</f>
        <v>48391.827187733317</v>
      </c>
    </row>
    <row r="99" spans="2:11" x14ac:dyDescent="0.2">
      <c r="B99" s="4">
        <f>IF(LoanIsGood,IF(ROW()-ROW(PaymentSchedule[[#Headers],[PMT NO]])&gt;ScheduledNumberOfPayments,"",ROW()-ROW(PaymentSchedule[[#Headers],[PMT NO]])),"")</f>
        <v>73</v>
      </c>
      <c r="C99" s="5">
        <f>IF(PaymentSchedule[[#This Row],[PMT NO]]&lt;&gt;"",EOMONTH(LoanStartDate,ROW(PaymentSchedule[[#This Row],[PMT NO]])-ROW(PaymentSchedule[[#Headers],[PMT NO]])-2)+DAY(LoanStartDate),"")</f>
        <v>48245</v>
      </c>
      <c r="D99" s="6">
        <f>IF(PaymentSchedule[[#This Row],[PMT NO]]&lt;&gt;"",IF(ROW()-ROW(PaymentSchedule[[#Headers],[BEGINNING BALANCE]])=1,LoanAmount,INDEX(PaymentSchedule[ENDING BALANCE],ROW()-ROW(PaymentSchedule[[#Headers],[BEGINNING BALANCE]])-1)),"")</f>
        <v>127957.13425233586</v>
      </c>
      <c r="E99" s="6">
        <f>IF(PaymentSchedule[[#This Row],[PMT NO]]&lt;&gt;"",ScheduledPayment,"")</f>
        <v>839.37073521385321</v>
      </c>
      <c r="F99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99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99" s="6">
        <f>IF(PaymentSchedule[[#This Row],[PMT NO]]&lt;&gt;"",PaymentSchedule[[#This Row],[TOTAL PAYMENT]]-PaymentSchedule[[#This Row],[INTEREST]],"")</f>
        <v>199.58506395217387</v>
      </c>
      <c r="I99" s="6">
        <f>IF(PaymentSchedule[[#This Row],[PMT NO]]&lt;&gt;"",PaymentSchedule[[#This Row],[BEGINNING BALANCE]]*(InterestRate/PaymentsPerYear),"")</f>
        <v>639.78567126167934</v>
      </c>
      <c r="J99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127757.54918838369</v>
      </c>
      <c r="K99" s="6">
        <f>IF(PaymentSchedule[[#This Row],[PMT NO]]&lt;&gt;"",SUM(INDEX(PaymentSchedule[INTEREST],1,1):PaymentSchedule[[#This Row],[INTEREST]]),"")</f>
        <v>49031.612858994995</v>
      </c>
    </row>
    <row r="100" spans="2:11" x14ac:dyDescent="0.2">
      <c r="B100" s="4">
        <f>IF(LoanIsGood,IF(ROW()-ROW(PaymentSchedule[[#Headers],[PMT NO]])&gt;ScheduledNumberOfPayments,"",ROW()-ROW(PaymentSchedule[[#Headers],[PMT NO]])),"")</f>
        <v>74</v>
      </c>
      <c r="C100" s="5">
        <f>IF(PaymentSchedule[[#This Row],[PMT NO]]&lt;&gt;"",EOMONTH(LoanStartDate,ROW(PaymentSchedule[[#This Row],[PMT NO]])-ROW(PaymentSchedule[[#Headers],[PMT NO]])-2)+DAY(LoanStartDate),"")</f>
        <v>48274</v>
      </c>
      <c r="D100" s="6">
        <f>IF(PaymentSchedule[[#This Row],[PMT NO]]&lt;&gt;"",IF(ROW()-ROW(PaymentSchedule[[#Headers],[BEGINNING BALANCE]])=1,LoanAmount,INDEX(PaymentSchedule[ENDING BALANCE],ROW()-ROW(PaymentSchedule[[#Headers],[BEGINNING BALANCE]])-1)),"")</f>
        <v>127757.54918838369</v>
      </c>
      <c r="E100" s="6">
        <f>IF(PaymentSchedule[[#This Row],[PMT NO]]&lt;&gt;"",ScheduledPayment,"")</f>
        <v>839.37073521385321</v>
      </c>
      <c r="F100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100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100" s="6">
        <f>IF(PaymentSchedule[[#This Row],[PMT NO]]&lt;&gt;"",PaymentSchedule[[#This Row],[TOTAL PAYMENT]]-PaymentSchedule[[#This Row],[INTEREST]],"")</f>
        <v>200.58298927193471</v>
      </c>
      <c r="I100" s="6">
        <f>IF(PaymentSchedule[[#This Row],[PMT NO]]&lt;&gt;"",PaymentSchedule[[#This Row],[BEGINNING BALANCE]]*(InterestRate/PaymentsPerYear),"")</f>
        <v>638.7877459419185</v>
      </c>
      <c r="J100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127556.96619911176</v>
      </c>
      <c r="K100" s="6">
        <f>IF(PaymentSchedule[[#This Row],[PMT NO]]&lt;&gt;"",SUM(INDEX(PaymentSchedule[INTEREST],1,1):PaymentSchedule[[#This Row],[INTEREST]]),"")</f>
        <v>49670.400604936913</v>
      </c>
    </row>
    <row r="101" spans="2:11" x14ac:dyDescent="0.2">
      <c r="B101" s="4">
        <f>IF(LoanIsGood,IF(ROW()-ROW(PaymentSchedule[[#Headers],[PMT NO]])&gt;ScheduledNumberOfPayments,"",ROW()-ROW(PaymentSchedule[[#Headers],[PMT NO]])),"")</f>
        <v>75</v>
      </c>
      <c r="C101" s="5">
        <f>IF(PaymentSchedule[[#This Row],[PMT NO]]&lt;&gt;"",EOMONTH(LoanStartDate,ROW(PaymentSchedule[[#This Row],[PMT NO]])-ROW(PaymentSchedule[[#Headers],[PMT NO]])-2)+DAY(LoanStartDate),"")</f>
        <v>48305</v>
      </c>
      <c r="D101" s="6">
        <f>IF(PaymentSchedule[[#This Row],[PMT NO]]&lt;&gt;"",IF(ROW()-ROW(PaymentSchedule[[#Headers],[BEGINNING BALANCE]])=1,LoanAmount,INDEX(PaymentSchedule[ENDING BALANCE],ROW()-ROW(PaymentSchedule[[#Headers],[BEGINNING BALANCE]])-1)),"")</f>
        <v>127556.96619911176</v>
      </c>
      <c r="E101" s="6">
        <f>IF(PaymentSchedule[[#This Row],[PMT NO]]&lt;&gt;"",ScheduledPayment,"")</f>
        <v>839.37073521385321</v>
      </c>
      <c r="F101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101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101" s="6">
        <f>IF(PaymentSchedule[[#This Row],[PMT NO]]&lt;&gt;"",PaymentSchedule[[#This Row],[TOTAL PAYMENT]]-PaymentSchedule[[#This Row],[INTEREST]],"")</f>
        <v>201.58590421829444</v>
      </c>
      <c r="I101" s="6">
        <f>IF(PaymentSchedule[[#This Row],[PMT NO]]&lt;&gt;"",PaymentSchedule[[#This Row],[BEGINNING BALANCE]]*(InterestRate/PaymentsPerYear),"")</f>
        <v>637.78483099555876</v>
      </c>
      <c r="J101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127355.38029489346</v>
      </c>
      <c r="K101" s="6">
        <f>IF(PaymentSchedule[[#This Row],[PMT NO]]&lt;&gt;"",SUM(INDEX(PaymentSchedule[INTEREST],1,1):PaymentSchedule[[#This Row],[INTEREST]]),"")</f>
        <v>50308.185435932472</v>
      </c>
    </row>
    <row r="102" spans="2:11" x14ac:dyDescent="0.2">
      <c r="B102" s="4">
        <f>IF(LoanIsGood,IF(ROW()-ROW(PaymentSchedule[[#Headers],[PMT NO]])&gt;ScheduledNumberOfPayments,"",ROW()-ROW(PaymentSchedule[[#Headers],[PMT NO]])),"")</f>
        <v>76</v>
      </c>
      <c r="C102" s="5">
        <f>IF(PaymentSchedule[[#This Row],[PMT NO]]&lt;&gt;"",EOMONTH(LoanStartDate,ROW(PaymentSchedule[[#This Row],[PMT NO]])-ROW(PaymentSchedule[[#Headers],[PMT NO]])-2)+DAY(LoanStartDate),"")</f>
        <v>48335</v>
      </c>
      <c r="D102" s="6">
        <f>IF(PaymentSchedule[[#This Row],[PMT NO]]&lt;&gt;"",IF(ROW()-ROW(PaymentSchedule[[#Headers],[BEGINNING BALANCE]])=1,LoanAmount,INDEX(PaymentSchedule[ENDING BALANCE],ROW()-ROW(PaymentSchedule[[#Headers],[BEGINNING BALANCE]])-1)),"")</f>
        <v>127355.38029489346</v>
      </c>
      <c r="E102" s="6">
        <f>IF(PaymentSchedule[[#This Row],[PMT NO]]&lt;&gt;"",ScheduledPayment,"")</f>
        <v>839.37073521385321</v>
      </c>
      <c r="F102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102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102" s="6">
        <f>IF(PaymentSchedule[[#This Row],[PMT NO]]&lt;&gt;"",PaymentSchedule[[#This Row],[TOTAL PAYMENT]]-PaymentSchedule[[#This Row],[INTEREST]],"")</f>
        <v>202.5938337393859</v>
      </c>
      <c r="I102" s="6">
        <f>IF(PaymentSchedule[[#This Row],[PMT NO]]&lt;&gt;"",PaymentSchedule[[#This Row],[BEGINNING BALANCE]]*(InterestRate/PaymentsPerYear),"")</f>
        <v>636.77690147446731</v>
      </c>
      <c r="J102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127152.78646115407</v>
      </c>
      <c r="K102" s="6">
        <f>IF(PaymentSchedule[[#This Row],[PMT NO]]&lt;&gt;"",SUM(INDEX(PaymentSchedule[INTEREST],1,1):PaymentSchedule[[#This Row],[INTEREST]]),"")</f>
        <v>50944.962337406942</v>
      </c>
    </row>
    <row r="103" spans="2:11" x14ac:dyDescent="0.2">
      <c r="B103" s="4">
        <f>IF(LoanIsGood,IF(ROW()-ROW(PaymentSchedule[[#Headers],[PMT NO]])&gt;ScheduledNumberOfPayments,"",ROW()-ROW(PaymentSchedule[[#Headers],[PMT NO]])),"")</f>
        <v>77</v>
      </c>
      <c r="C103" s="5">
        <f>IF(PaymentSchedule[[#This Row],[PMT NO]]&lt;&gt;"",EOMONTH(LoanStartDate,ROW(PaymentSchedule[[#This Row],[PMT NO]])-ROW(PaymentSchedule[[#Headers],[PMT NO]])-2)+DAY(LoanStartDate),"")</f>
        <v>48366</v>
      </c>
      <c r="D103" s="6">
        <f>IF(PaymentSchedule[[#This Row],[PMT NO]]&lt;&gt;"",IF(ROW()-ROW(PaymentSchedule[[#Headers],[BEGINNING BALANCE]])=1,LoanAmount,INDEX(PaymentSchedule[ENDING BALANCE],ROW()-ROW(PaymentSchedule[[#Headers],[BEGINNING BALANCE]])-1)),"")</f>
        <v>127152.78646115407</v>
      </c>
      <c r="E103" s="6">
        <f>IF(PaymentSchedule[[#This Row],[PMT NO]]&lt;&gt;"",ScheduledPayment,"")</f>
        <v>839.37073521385321</v>
      </c>
      <c r="F103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103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103" s="6">
        <f>IF(PaymentSchedule[[#This Row],[PMT NO]]&lt;&gt;"",PaymentSchedule[[#This Row],[TOTAL PAYMENT]]-PaymentSchedule[[#This Row],[INTEREST]],"")</f>
        <v>203.60680290808284</v>
      </c>
      <c r="I103" s="6">
        <f>IF(PaymentSchedule[[#This Row],[PMT NO]]&lt;&gt;"",PaymentSchedule[[#This Row],[BEGINNING BALANCE]]*(InterestRate/PaymentsPerYear),"")</f>
        <v>635.76393230577037</v>
      </c>
      <c r="J103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126949.17965824599</v>
      </c>
      <c r="K103" s="6">
        <f>IF(PaymentSchedule[[#This Row],[PMT NO]]&lt;&gt;"",SUM(INDEX(PaymentSchedule[INTEREST],1,1):PaymentSchedule[[#This Row],[INTEREST]]),"")</f>
        <v>51580.726269712715</v>
      </c>
    </row>
    <row r="104" spans="2:11" x14ac:dyDescent="0.2">
      <c r="B104" s="4">
        <f>IF(LoanIsGood,IF(ROW()-ROW(PaymentSchedule[[#Headers],[PMT NO]])&gt;ScheduledNumberOfPayments,"",ROW()-ROW(PaymentSchedule[[#Headers],[PMT NO]])),"")</f>
        <v>78</v>
      </c>
      <c r="C104" s="5">
        <f>IF(PaymentSchedule[[#This Row],[PMT NO]]&lt;&gt;"",EOMONTH(LoanStartDate,ROW(PaymentSchedule[[#This Row],[PMT NO]])-ROW(PaymentSchedule[[#Headers],[PMT NO]])-2)+DAY(LoanStartDate),"")</f>
        <v>48396</v>
      </c>
      <c r="D104" s="6">
        <f>IF(PaymentSchedule[[#This Row],[PMT NO]]&lt;&gt;"",IF(ROW()-ROW(PaymentSchedule[[#Headers],[BEGINNING BALANCE]])=1,LoanAmount,INDEX(PaymentSchedule[ENDING BALANCE],ROW()-ROW(PaymentSchedule[[#Headers],[BEGINNING BALANCE]])-1)),"")</f>
        <v>126949.17965824599</v>
      </c>
      <c r="E104" s="6">
        <f>IF(PaymentSchedule[[#This Row],[PMT NO]]&lt;&gt;"",ScheduledPayment,"")</f>
        <v>839.37073521385321</v>
      </c>
      <c r="F104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104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104" s="6">
        <f>IF(PaymentSchedule[[#This Row],[PMT NO]]&lt;&gt;"",PaymentSchedule[[#This Row],[TOTAL PAYMENT]]-PaymentSchedule[[#This Row],[INTEREST]],"")</f>
        <v>204.62483692262322</v>
      </c>
      <c r="I104" s="6">
        <f>IF(PaymentSchedule[[#This Row],[PMT NO]]&lt;&gt;"",PaymentSchedule[[#This Row],[BEGINNING BALANCE]]*(InterestRate/PaymentsPerYear),"")</f>
        <v>634.74589829122999</v>
      </c>
      <c r="J104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126744.55482132337</v>
      </c>
      <c r="K104" s="6">
        <f>IF(PaymentSchedule[[#This Row],[PMT NO]]&lt;&gt;"",SUM(INDEX(PaymentSchedule[INTEREST],1,1):PaymentSchedule[[#This Row],[INTEREST]]),"")</f>
        <v>52215.472168003944</v>
      </c>
    </row>
    <row r="105" spans="2:11" x14ac:dyDescent="0.2">
      <c r="B105" s="4">
        <f>IF(LoanIsGood,IF(ROW()-ROW(PaymentSchedule[[#Headers],[PMT NO]])&gt;ScheduledNumberOfPayments,"",ROW()-ROW(PaymentSchedule[[#Headers],[PMT NO]])),"")</f>
        <v>79</v>
      </c>
      <c r="C105" s="5">
        <f>IF(PaymentSchedule[[#This Row],[PMT NO]]&lt;&gt;"",EOMONTH(LoanStartDate,ROW(PaymentSchedule[[#This Row],[PMT NO]])-ROW(PaymentSchedule[[#Headers],[PMT NO]])-2)+DAY(LoanStartDate),"")</f>
        <v>48427</v>
      </c>
      <c r="D105" s="6">
        <f>IF(PaymentSchedule[[#This Row],[PMT NO]]&lt;&gt;"",IF(ROW()-ROW(PaymentSchedule[[#Headers],[BEGINNING BALANCE]])=1,LoanAmount,INDEX(PaymentSchedule[ENDING BALANCE],ROW()-ROW(PaymentSchedule[[#Headers],[BEGINNING BALANCE]])-1)),"")</f>
        <v>126744.55482132337</v>
      </c>
      <c r="E105" s="6">
        <f>IF(PaymentSchedule[[#This Row],[PMT NO]]&lt;&gt;"",ScheduledPayment,"")</f>
        <v>839.37073521385321</v>
      </c>
      <c r="F105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105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105" s="6">
        <f>IF(PaymentSchedule[[#This Row],[PMT NO]]&lt;&gt;"",PaymentSchedule[[#This Row],[TOTAL PAYMENT]]-PaymentSchedule[[#This Row],[INTEREST]],"")</f>
        <v>205.64796110723637</v>
      </c>
      <c r="I105" s="6">
        <f>IF(PaymentSchedule[[#This Row],[PMT NO]]&lt;&gt;"",PaymentSchedule[[#This Row],[BEGINNING BALANCE]]*(InterestRate/PaymentsPerYear),"")</f>
        <v>633.72277410661684</v>
      </c>
      <c r="J105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126538.90686021613</v>
      </c>
      <c r="K105" s="6">
        <f>IF(PaymentSchedule[[#This Row],[PMT NO]]&lt;&gt;"",SUM(INDEX(PaymentSchedule[INTEREST],1,1):PaymentSchedule[[#This Row],[INTEREST]]),"")</f>
        <v>52849.19494211056</v>
      </c>
    </row>
    <row r="106" spans="2:11" x14ac:dyDescent="0.2">
      <c r="B106" s="4">
        <f>IF(LoanIsGood,IF(ROW()-ROW(PaymentSchedule[[#Headers],[PMT NO]])&gt;ScheduledNumberOfPayments,"",ROW()-ROW(PaymentSchedule[[#Headers],[PMT NO]])),"")</f>
        <v>80</v>
      </c>
      <c r="C106" s="5">
        <f>IF(PaymentSchedule[[#This Row],[PMT NO]]&lt;&gt;"",EOMONTH(LoanStartDate,ROW(PaymentSchedule[[#This Row],[PMT NO]])-ROW(PaymentSchedule[[#Headers],[PMT NO]])-2)+DAY(LoanStartDate),"")</f>
        <v>48458</v>
      </c>
      <c r="D106" s="6">
        <f>IF(PaymentSchedule[[#This Row],[PMT NO]]&lt;&gt;"",IF(ROW()-ROW(PaymentSchedule[[#Headers],[BEGINNING BALANCE]])=1,LoanAmount,INDEX(PaymentSchedule[ENDING BALANCE],ROW()-ROW(PaymentSchedule[[#Headers],[BEGINNING BALANCE]])-1)),"")</f>
        <v>126538.90686021613</v>
      </c>
      <c r="E106" s="6">
        <f>IF(PaymentSchedule[[#This Row],[PMT NO]]&lt;&gt;"",ScheduledPayment,"")</f>
        <v>839.37073521385321</v>
      </c>
      <c r="F106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106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106" s="6">
        <f>IF(PaymentSchedule[[#This Row],[PMT NO]]&lt;&gt;"",PaymentSchedule[[#This Row],[TOTAL PAYMENT]]-PaymentSchedule[[#This Row],[INTEREST]],"")</f>
        <v>206.67620091277252</v>
      </c>
      <c r="I106" s="6">
        <f>IF(PaymentSchedule[[#This Row],[PMT NO]]&lt;&gt;"",PaymentSchedule[[#This Row],[BEGINNING BALANCE]]*(InterestRate/PaymentsPerYear),"")</f>
        <v>632.69453430108069</v>
      </c>
      <c r="J106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126332.23065930336</v>
      </c>
      <c r="K106" s="6">
        <f>IF(PaymentSchedule[[#This Row],[PMT NO]]&lt;&gt;"",SUM(INDEX(PaymentSchedule[INTEREST],1,1):PaymentSchedule[[#This Row],[INTEREST]]),"")</f>
        <v>53481.889476411641</v>
      </c>
    </row>
    <row r="107" spans="2:11" x14ac:dyDescent="0.2">
      <c r="B107" s="4">
        <f>IF(LoanIsGood,IF(ROW()-ROW(PaymentSchedule[[#Headers],[PMT NO]])&gt;ScheduledNumberOfPayments,"",ROW()-ROW(PaymentSchedule[[#Headers],[PMT NO]])),"")</f>
        <v>81</v>
      </c>
      <c r="C107" s="5">
        <f>IF(PaymentSchedule[[#This Row],[PMT NO]]&lt;&gt;"",EOMONTH(LoanStartDate,ROW(PaymentSchedule[[#This Row],[PMT NO]])-ROW(PaymentSchedule[[#Headers],[PMT NO]])-2)+DAY(LoanStartDate),"")</f>
        <v>48488</v>
      </c>
      <c r="D107" s="6">
        <f>IF(PaymentSchedule[[#This Row],[PMT NO]]&lt;&gt;"",IF(ROW()-ROW(PaymentSchedule[[#Headers],[BEGINNING BALANCE]])=1,LoanAmount,INDEX(PaymentSchedule[ENDING BALANCE],ROW()-ROW(PaymentSchedule[[#Headers],[BEGINNING BALANCE]])-1)),"")</f>
        <v>126332.23065930336</v>
      </c>
      <c r="E107" s="6">
        <f>IF(PaymentSchedule[[#This Row],[PMT NO]]&lt;&gt;"",ScheduledPayment,"")</f>
        <v>839.37073521385321</v>
      </c>
      <c r="F107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107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107" s="6">
        <f>IF(PaymentSchedule[[#This Row],[PMT NO]]&lt;&gt;"",PaymentSchedule[[#This Row],[TOTAL PAYMENT]]-PaymentSchedule[[#This Row],[INTEREST]],"")</f>
        <v>207.70958191733644</v>
      </c>
      <c r="I107" s="6">
        <f>IF(PaymentSchedule[[#This Row],[PMT NO]]&lt;&gt;"",PaymentSchedule[[#This Row],[BEGINNING BALANCE]]*(InterestRate/PaymentsPerYear),"")</f>
        <v>631.66115329651677</v>
      </c>
      <c r="J107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126124.52107738602</v>
      </c>
      <c r="K107" s="6">
        <f>IF(PaymentSchedule[[#This Row],[PMT NO]]&lt;&gt;"",SUM(INDEX(PaymentSchedule[INTEREST],1,1):PaymentSchedule[[#This Row],[INTEREST]]),"")</f>
        <v>54113.550629708159</v>
      </c>
    </row>
    <row r="108" spans="2:11" x14ac:dyDescent="0.2">
      <c r="B108" s="4">
        <f>IF(LoanIsGood,IF(ROW()-ROW(PaymentSchedule[[#Headers],[PMT NO]])&gt;ScheduledNumberOfPayments,"",ROW()-ROW(PaymentSchedule[[#Headers],[PMT NO]])),"")</f>
        <v>82</v>
      </c>
      <c r="C108" s="5">
        <f>IF(PaymentSchedule[[#This Row],[PMT NO]]&lt;&gt;"",EOMONTH(LoanStartDate,ROW(PaymentSchedule[[#This Row],[PMT NO]])-ROW(PaymentSchedule[[#Headers],[PMT NO]])-2)+DAY(LoanStartDate),"")</f>
        <v>48519</v>
      </c>
      <c r="D108" s="6">
        <f>IF(PaymentSchedule[[#This Row],[PMT NO]]&lt;&gt;"",IF(ROW()-ROW(PaymentSchedule[[#Headers],[BEGINNING BALANCE]])=1,LoanAmount,INDEX(PaymentSchedule[ENDING BALANCE],ROW()-ROW(PaymentSchedule[[#Headers],[BEGINNING BALANCE]])-1)),"")</f>
        <v>126124.52107738602</v>
      </c>
      <c r="E108" s="6">
        <f>IF(PaymentSchedule[[#This Row],[PMT NO]]&lt;&gt;"",ScheduledPayment,"")</f>
        <v>839.37073521385321</v>
      </c>
      <c r="F108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108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108" s="6">
        <f>IF(PaymentSchedule[[#This Row],[PMT NO]]&lt;&gt;"",PaymentSchedule[[#This Row],[TOTAL PAYMENT]]-PaymentSchedule[[#This Row],[INTEREST]],"")</f>
        <v>208.7481298269231</v>
      </c>
      <c r="I108" s="6">
        <f>IF(PaymentSchedule[[#This Row],[PMT NO]]&lt;&gt;"",PaymentSchedule[[#This Row],[BEGINNING BALANCE]]*(InterestRate/PaymentsPerYear),"")</f>
        <v>630.6226053869301</v>
      </c>
      <c r="J108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125915.77294755909</v>
      </c>
      <c r="K108" s="6">
        <f>IF(PaymentSchedule[[#This Row],[PMT NO]]&lt;&gt;"",SUM(INDEX(PaymentSchedule[INTEREST],1,1):PaymentSchedule[[#This Row],[INTEREST]]),"")</f>
        <v>54744.173235095092</v>
      </c>
    </row>
    <row r="109" spans="2:11" x14ac:dyDescent="0.2">
      <c r="B109" s="4">
        <f>IF(LoanIsGood,IF(ROW()-ROW(PaymentSchedule[[#Headers],[PMT NO]])&gt;ScheduledNumberOfPayments,"",ROW()-ROW(PaymentSchedule[[#Headers],[PMT NO]])),"")</f>
        <v>83</v>
      </c>
      <c r="C109" s="5">
        <f>IF(PaymentSchedule[[#This Row],[PMT NO]]&lt;&gt;"",EOMONTH(LoanStartDate,ROW(PaymentSchedule[[#This Row],[PMT NO]])-ROW(PaymentSchedule[[#Headers],[PMT NO]])-2)+DAY(LoanStartDate),"")</f>
        <v>48549</v>
      </c>
      <c r="D109" s="6">
        <f>IF(PaymentSchedule[[#This Row],[PMT NO]]&lt;&gt;"",IF(ROW()-ROW(PaymentSchedule[[#Headers],[BEGINNING BALANCE]])=1,LoanAmount,INDEX(PaymentSchedule[ENDING BALANCE],ROW()-ROW(PaymentSchedule[[#Headers],[BEGINNING BALANCE]])-1)),"")</f>
        <v>125915.77294755909</v>
      </c>
      <c r="E109" s="6">
        <f>IF(PaymentSchedule[[#This Row],[PMT NO]]&lt;&gt;"",ScheduledPayment,"")</f>
        <v>839.37073521385321</v>
      </c>
      <c r="F109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109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109" s="6">
        <f>IF(PaymentSchedule[[#This Row],[PMT NO]]&lt;&gt;"",PaymentSchedule[[#This Row],[TOTAL PAYMENT]]-PaymentSchedule[[#This Row],[INTEREST]],"")</f>
        <v>209.79187047605774</v>
      </c>
      <c r="I109" s="6">
        <f>IF(PaymentSchedule[[#This Row],[PMT NO]]&lt;&gt;"",PaymentSchedule[[#This Row],[BEGINNING BALANCE]]*(InterestRate/PaymentsPerYear),"")</f>
        <v>629.57886473779547</v>
      </c>
      <c r="J109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125705.98107708304</v>
      </c>
      <c r="K109" s="6">
        <f>IF(PaymentSchedule[[#This Row],[PMT NO]]&lt;&gt;"",SUM(INDEX(PaymentSchedule[INTEREST],1,1):PaymentSchedule[[#This Row],[INTEREST]]),"")</f>
        <v>55373.752099832884</v>
      </c>
    </row>
    <row r="110" spans="2:11" x14ac:dyDescent="0.2">
      <c r="B110" s="4">
        <f>IF(LoanIsGood,IF(ROW()-ROW(PaymentSchedule[[#Headers],[PMT NO]])&gt;ScheduledNumberOfPayments,"",ROW()-ROW(PaymentSchedule[[#Headers],[PMT NO]])),"")</f>
        <v>84</v>
      </c>
      <c r="C110" s="5">
        <f>IF(PaymentSchedule[[#This Row],[PMT NO]]&lt;&gt;"",EOMONTH(LoanStartDate,ROW(PaymentSchedule[[#This Row],[PMT NO]])-ROW(PaymentSchedule[[#Headers],[PMT NO]])-2)+DAY(LoanStartDate),"")</f>
        <v>48580</v>
      </c>
      <c r="D110" s="6">
        <f>IF(PaymentSchedule[[#This Row],[PMT NO]]&lt;&gt;"",IF(ROW()-ROW(PaymentSchedule[[#Headers],[BEGINNING BALANCE]])=1,LoanAmount,INDEX(PaymentSchedule[ENDING BALANCE],ROW()-ROW(PaymentSchedule[[#Headers],[BEGINNING BALANCE]])-1)),"")</f>
        <v>125705.98107708304</v>
      </c>
      <c r="E110" s="6">
        <f>IF(PaymentSchedule[[#This Row],[PMT NO]]&lt;&gt;"",ScheduledPayment,"")</f>
        <v>839.37073521385321</v>
      </c>
      <c r="F110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110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110" s="6">
        <f>IF(PaymentSchedule[[#This Row],[PMT NO]]&lt;&gt;"",PaymentSchedule[[#This Row],[TOTAL PAYMENT]]-PaymentSchedule[[#This Row],[INTEREST]],"")</f>
        <v>210.84082982843802</v>
      </c>
      <c r="I110" s="6">
        <f>IF(PaymentSchedule[[#This Row],[PMT NO]]&lt;&gt;"",PaymentSchedule[[#This Row],[BEGINNING BALANCE]]*(InterestRate/PaymentsPerYear),"")</f>
        <v>628.52990538541519</v>
      </c>
      <c r="J110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125495.1402472546</v>
      </c>
      <c r="K110" s="6">
        <f>IF(PaymentSchedule[[#This Row],[PMT NO]]&lt;&gt;"",SUM(INDEX(PaymentSchedule[INTEREST],1,1):PaymentSchedule[[#This Row],[INTEREST]]),"")</f>
        <v>56002.282005218301</v>
      </c>
    </row>
    <row r="111" spans="2:11" x14ac:dyDescent="0.2">
      <c r="B111" s="4">
        <f>IF(LoanIsGood,IF(ROW()-ROW(PaymentSchedule[[#Headers],[PMT NO]])&gt;ScheduledNumberOfPayments,"",ROW()-ROW(PaymentSchedule[[#Headers],[PMT NO]])),"")</f>
        <v>85</v>
      </c>
      <c r="C111" s="5">
        <f>IF(PaymentSchedule[[#This Row],[PMT NO]]&lt;&gt;"",EOMONTH(LoanStartDate,ROW(PaymentSchedule[[#This Row],[PMT NO]])-ROW(PaymentSchedule[[#Headers],[PMT NO]])-2)+DAY(LoanStartDate),"")</f>
        <v>48611</v>
      </c>
      <c r="D111" s="6">
        <f>IF(PaymentSchedule[[#This Row],[PMT NO]]&lt;&gt;"",IF(ROW()-ROW(PaymentSchedule[[#Headers],[BEGINNING BALANCE]])=1,LoanAmount,INDEX(PaymentSchedule[ENDING BALANCE],ROW()-ROW(PaymentSchedule[[#Headers],[BEGINNING BALANCE]])-1)),"")</f>
        <v>125495.1402472546</v>
      </c>
      <c r="E111" s="6">
        <f>IF(PaymentSchedule[[#This Row],[PMT NO]]&lt;&gt;"",ScheduledPayment,"")</f>
        <v>839.37073521385321</v>
      </c>
      <c r="F111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111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111" s="6">
        <f>IF(PaymentSchedule[[#This Row],[PMT NO]]&lt;&gt;"",PaymentSchedule[[#This Row],[TOTAL PAYMENT]]-PaymentSchedule[[#This Row],[INTEREST]],"")</f>
        <v>211.89503397758017</v>
      </c>
      <c r="I111" s="6">
        <f>IF(PaymentSchedule[[#This Row],[PMT NO]]&lt;&gt;"",PaymentSchedule[[#This Row],[BEGINNING BALANCE]]*(InterestRate/PaymentsPerYear),"")</f>
        <v>627.47570123627304</v>
      </c>
      <c r="J111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125283.24521327703</v>
      </c>
      <c r="K111" s="6">
        <f>IF(PaymentSchedule[[#This Row],[PMT NO]]&lt;&gt;"",SUM(INDEX(PaymentSchedule[INTEREST],1,1):PaymentSchedule[[#This Row],[INTEREST]]),"")</f>
        <v>56629.757706454577</v>
      </c>
    </row>
    <row r="112" spans="2:11" x14ac:dyDescent="0.2">
      <c r="B112" s="4">
        <f>IF(LoanIsGood,IF(ROW()-ROW(PaymentSchedule[[#Headers],[PMT NO]])&gt;ScheduledNumberOfPayments,"",ROW()-ROW(PaymentSchedule[[#Headers],[PMT NO]])),"")</f>
        <v>86</v>
      </c>
      <c r="C112" s="5">
        <f>IF(PaymentSchedule[[#This Row],[PMT NO]]&lt;&gt;"",EOMONTH(LoanStartDate,ROW(PaymentSchedule[[#This Row],[PMT NO]])-ROW(PaymentSchedule[[#Headers],[PMT NO]])-2)+DAY(LoanStartDate),"")</f>
        <v>48639</v>
      </c>
      <c r="D112" s="6">
        <f>IF(PaymentSchedule[[#This Row],[PMT NO]]&lt;&gt;"",IF(ROW()-ROW(PaymentSchedule[[#Headers],[BEGINNING BALANCE]])=1,LoanAmount,INDEX(PaymentSchedule[ENDING BALANCE],ROW()-ROW(PaymentSchedule[[#Headers],[BEGINNING BALANCE]])-1)),"")</f>
        <v>125283.24521327703</v>
      </c>
      <c r="E112" s="6">
        <f>IF(PaymentSchedule[[#This Row],[PMT NO]]&lt;&gt;"",ScheduledPayment,"")</f>
        <v>839.37073521385321</v>
      </c>
      <c r="F112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112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112" s="6">
        <f>IF(PaymentSchedule[[#This Row],[PMT NO]]&lt;&gt;"",PaymentSchedule[[#This Row],[TOTAL PAYMENT]]-PaymentSchedule[[#This Row],[INTEREST]],"")</f>
        <v>212.95450914746812</v>
      </c>
      <c r="I112" s="6">
        <f>IF(PaymentSchedule[[#This Row],[PMT NO]]&lt;&gt;"",PaymentSchedule[[#This Row],[BEGINNING BALANCE]]*(InterestRate/PaymentsPerYear),"")</f>
        <v>626.41622606638509</v>
      </c>
      <c r="J112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125070.29070412955</v>
      </c>
      <c r="K112" s="6">
        <f>IF(PaymentSchedule[[#This Row],[PMT NO]]&lt;&gt;"",SUM(INDEX(PaymentSchedule[INTEREST],1,1):PaymentSchedule[[#This Row],[INTEREST]]),"")</f>
        <v>57256.173932520964</v>
      </c>
    </row>
    <row r="113" spans="2:11" x14ac:dyDescent="0.2">
      <c r="B113" s="4">
        <f>IF(LoanIsGood,IF(ROW()-ROW(PaymentSchedule[[#Headers],[PMT NO]])&gt;ScheduledNumberOfPayments,"",ROW()-ROW(PaymentSchedule[[#Headers],[PMT NO]])),"")</f>
        <v>87</v>
      </c>
      <c r="C113" s="5">
        <f>IF(PaymentSchedule[[#This Row],[PMT NO]]&lt;&gt;"",EOMONTH(LoanStartDate,ROW(PaymentSchedule[[#This Row],[PMT NO]])-ROW(PaymentSchedule[[#Headers],[PMT NO]])-2)+DAY(LoanStartDate),"")</f>
        <v>48670</v>
      </c>
      <c r="D113" s="6">
        <f>IF(PaymentSchedule[[#This Row],[PMT NO]]&lt;&gt;"",IF(ROW()-ROW(PaymentSchedule[[#Headers],[BEGINNING BALANCE]])=1,LoanAmount,INDEX(PaymentSchedule[ENDING BALANCE],ROW()-ROW(PaymentSchedule[[#Headers],[BEGINNING BALANCE]])-1)),"")</f>
        <v>125070.29070412955</v>
      </c>
      <c r="E113" s="6">
        <f>IF(PaymentSchedule[[#This Row],[PMT NO]]&lt;&gt;"",ScheduledPayment,"")</f>
        <v>839.37073521385321</v>
      </c>
      <c r="F113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113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113" s="6">
        <f>IF(PaymentSchedule[[#This Row],[PMT NO]]&lt;&gt;"",PaymentSchedule[[#This Row],[TOTAL PAYMENT]]-PaymentSchedule[[#This Row],[INTEREST]],"")</f>
        <v>214.01928169320547</v>
      </c>
      <c r="I113" s="6">
        <f>IF(PaymentSchedule[[#This Row],[PMT NO]]&lt;&gt;"",PaymentSchedule[[#This Row],[BEGINNING BALANCE]]*(InterestRate/PaymentsPerYear),"")</f>
        <v>625.35145352064774</v>
      </c>
      <c r="J113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124856.27142243634</v>
      </c>
      <c r="K113" s="6">
        <f>IF(PaymentSchedule[[#This Row],[PMT NO]]&lt;&gt;"",SUM(INDEX(PaymentSchedule[INTEREST],1,1):PaymentSchedule[[#This Row],[INTEREST]]),"")</f>
        <v>57881.525386041612</v>
      </c>
    </row>
    <row r="114" spans="2:11" x14ac:dyDescent="0.2">
      <c r="B114" s="4">
        <f>IF(LoanIsGood,IF(ROW()-ROW(PaymentSchedule[[#Headers],[PMT NO]])&gt;ScheduledNumberOfPayments,"",ROW()-ROW(PaymentSchedule[[#Headers],[PMT NO]])),"")</f>
        <v>88</v>
      </c>
      <c r="C114" s="5">
        <f>IF(PaymentSchedule[[#This Row],[PMT NO]]&lt;&gt;"",EOMONTH(LoanStartDate,ROW(PaymentSchedule[[#This Row],[PMT NO]])-ROW(PaymentSchedule[[#Headers],[PMT NO]])-2)+DAY(LoanStartDate),"")</f>
        <v>48700</v>
      </c>
      <c r="D114" s="6">
        <f>IF(PaymentSchedule[[#This Row],[PMT NO]]&lt;&gt;"",IF(ROW()-ROW(PaymentSchedule[[#Headers],[BEGINNING BALANCE]])=1,LoanAmount,INDEX(PaymentSchedule[ENDING BALANCE],ROW()-ROW(PaymentSchedule[[#Headers],[BEGINNING BALANCE]])-1)),"")</f>
        <v>124856.27142243634</v>
      </c>
      <c r="E114" s="6">
        <f>IF(PaymentSchedule[[#This Row],[PMT NO]]&lt;&gt;"",ScheduledPayment,"")</f>
        <v>839.37073521385321</v>
      </c>
      <c r="F114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114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114" s="6">
        <f>IF(PaymentSchedule[[#This Row],[PMT NO]]&lt;&gt;"",PaymentSchedule[[#This Row],[TOTAL PAYMENT]]-PaymentSchedule[[#This Row],[INTEREST]],"")</f>
        <v>215.08937810167151</v>
      </c>
      <c r="I114" s="6">
        <f>IF(PaymentSchedule[[#This Row],[PMT NO]]&lt;&gt;"",PaymentSchedule[[#This Row],[BEGINNING BALANCE]]*(InterestRate/PaymentsPerYear),"")</f>
        <v>624.28135711218169</v>
      </c>
      <c r="J114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124641.18204433467</v>
      </c>
      <c r="K114" s="6">
        <f>IF(PaymentSchedule[[#This Row],[PMT NO]]&lt;&gt;"",SUM(INDEX(PaymentSchedule[INTEREST],1,1):PaymentSchedule[[#This Row],[INTEREST]]),"")</f>
        <v>58505.806743153793</v>
      </c>
    </row>
    <row r="115" spans="2:11" x14ac:dyDescent="0.2">
      <c r="B115" s="4">
        <f>IF(LoanIsGood,IF(ROW()-ROW(PaymentSchedule[[#Headers],[PMT NO]])&gt;ScheduledNumberOfPayments,"",ROW()-ROW(PaymentSchedule[[#Headers],[PMT NO]])),"")</f>
        <v>89</v>
      </c>
      <c r="C115" s="5">
        <f>IF(PaymentSchedule[[#This Row],[PMT NO]]&lt;&gt;"",EOMONTH(LoanStartDate,ROW(PaymentSchedule[[#This Row],[PMT NO]])-ROW(PaymentSchedule[[#Headers],[PMT NO]])-2)+DAY(LoanStartDate),"")</f>
        <v>48731</v>
      </c>
      <c r="D115" s="6">
        <f>IF(PaymentSchedule[[#This Row],[PMT NO]]&lt;&gt;"",IF(ROW()-ROW(PaymentSchedule[[#Headers],[BEGINNING BALANCE]])=1,LoanAmount,INDEX(PaymentSchedule[ENDING BALANCE],ROW()-ROW(PaymentSchedule[[#Headers],[BEGINNING BALANCE]])-1)),"")</f>
        <v>124641.18204433467</v>
      </c>
      <c r="E115" s="6">
        <f>IF(PaymentSchedule[[#This Row],[PMT NO]]&lt;&gt;"",ScheduledPayment,"")</f>
        <v>839.37073521385321</v>
      </c>
      <c r="F115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115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115" s="6">
        <f>IF(PaymentSchedule[[#This Row],[PMT NO]]&lt;&gt;"",PaymentSchedule[[#This Row],[TOTAL PAYMENT]]-PaymentSchedule[[#This Row],[INTEREST]],"")</f>
        <v>216.16482499217989</v>
      </c>
      <c r="I115" s="6">
        <f>IF(PaymentSchedule[[#This Row],[PMT NO]]&lt;&gt;"",PaymentSchedule[[#This Row],[BEGINNING BALANCE]]*(InterestRate/PaymentsPerYear),"")</f>
        <v>623.20591022167332</v>
      </c>
      <c r="J115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124425.01721934248</v>
      </c>
      <c r="K115" s="6">
        <f>IF(PaymentSchedule[[#This Row],[PMT NO]]&lt;&gt;"",SUM(INDEX(PaymentSchedule[INTEREST],1,1):PaymentSchedule[[#This Row],[INTEREST]]),"")</f>
        <v>59129.012653375466</v>
      </c>
    </row>
    <row r="116" spans="2:11" x14ac:dyDescent="0.2">
      <c r="B116" s="4">
        <f>IF(LoanIsGood,IF(ROW()-ROW(PaymentSchedule[[#Headers],[PMT NO]])&gt;ScheduledNumberOfPayments,"",ROW()-ROW(PaymentSchedule[[#Headers],[PMT NO]])),"")</f>
        <v>90</v>
      </c>
      <c r="C116" s="5">
        <f>IF(PaymentSchedule[[#This Row],[PMT NO]]&lt;&gt;"",EOMONTH(LoanStartDate,ROW(PaymentSchedule[[#This Row],[PMT NO]])-ROW(PaymentSchedule[[#Headers],[PMT NO]])-2)+DAY(LoanStartDate),"")</f>
        <v>48761</v>
      </c>
      <c r="D116" s="6">
        <f>IF(PaymentSchedule[[#This Row],[PMT NO]]&lt;&gt;"",IF(ROW()-ROW(PaymentSchedule[[#Headers],[BEGINNING BALANCE]])=1,LoanAmount,INDEX(PaymentSchedule[ENDING BALANCE],ROW()-ROW(PaymentSchedule[[#Headers],[BEGINNING BALANCE]])-1)),"")</f>
        <v>124425.01721934248</v>
      </c>
      <c r="E116" s="6">
        <f>IF(PaymentSchedule[[#This Row],[PMT NO]]&lt;&gt;"",ScheduledPayment,"")</f>
        <v>839.37073521385321</v>
      </c>
      <c r="F116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116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116" s="6">
        <f>IF(PaymentSchedule[[#This Row],[PMT NO]]&lt;&gt;"",PaymentSchedule[[#This Row],[TOTAL PAYMENT]]-PaymentSchedule[[#This Row],[INTEREST]],"")</f>
        <v>217.24564911714083</v>
      </c>
      <c r="I116" s="6">
        <f>IF(PaymentSchedule[[#This Row],[PMT NO]]&lt;&gt;"",PaymentSchedule[[#This Row],[BEGINNING BALANCE]]*(InterestRate/PaymentsPerYear),"")</f>
        <v>622.12508609671238</v>
      </c>
      <c r="J116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124207.77157022533</v>
      </c>
      <c r="K116" s="6">
        <f>IF(PaymentSchedule[[#This Row],[PMT NO]]&lt;&gt;"",SUM(INDEX(PaymentSchedule[INTEREST],1,1):PaymentSchedule[[#This Row],[INTEREST]]),"")</f>
        <v>59751.137739472179</v>
      </c>
    </row>
    <row r="117" spans="2:11" x14ac:dyDescent="0.2">
      <c r="B117" s="4">
        <f>IF(LoanIsGood,IF(ROW()-ROW(PaymentSchedule[[#Headers],[PMT NO]])&gt;ScheduledNumberOfPayments,"",ROW()-ROW(PaymentSchedule[[#Headers],[PMT NO]])),"")</f>
        <v>91</v>
      </c>
      <c r="C117" s="5">
        <f>IF(PaymentSchedule[[#This Row],[PMT NO]]&lt;&gt;"",EOMONTH(LoanStartDate,ROW(PaymentSchedule[[#This Row],[PMT NO]])-ROW(PaymentSchedule[[#Headers],[PMT NO]])-2)+DAY(LoanStartDate),"")</f>
        <v>48792</v>
      </c>
      <c r="D117" s="6">
        <f>IF(PaymentSchedule[[#This Row],[PMT NO]]&lt;&gt;"",IF(ROW()-ROW(PaymentSchedule[[#Headers],[BEGINNING BALANCE]])=1,LoanAmount,INDEX(PaymentSchedule[ENDING BALANCE],ROW()-ROW(PaymentSchedule[[#Headers],[BEGINNING BALANCE]])-1)),"")</f>
        <v>124207.77157022533</v>
      </c>
      <c r="E117" s="6">
        <f>IF(PaymentSchedule[[#This Row],[PMT NO]]&lt;&gt;"",ScheduledPayment,"")</f>
        <v>839.37073521385321</v>
      </c>
      <c r="F117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117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117" s="6">
        <f>IF(PaymentSchedule[[#This Row],[PMT NO]]&lt;&gt;"",PaymentSchedule[[#This Row],[TOTAL PAYMENT]]-PaymentSchedule[[#This Row],[INTEREST]],"")</f>
        <v>218.33187736272657</v>
      </c>
      <c r="I117" s="6">
        <f>IF(PaymentSchedule[[#This Row],[PMT NO]]&lt;&gt;"",PaymentSchedule[[#This Row],[BEGINNING BALANCE]]*(InterestRate/PaymentsPerYear),"")</f>
        <v>621.03885785112664</v>
      </c>
      <c r="J117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123989.43969286261</v>
      </c>
      <c r="K117" s="6">
        <f>IF(PaymentSchedule[[#This Row],[PMT NO]]&lt;&gt;"",SUM(INDEX(PaymentSchedule[INTEREST],1,1):PaymentSchedule[[#This Row],[INTEREST]]),"")</f>
        <v>60372.176597323305</v>
      </c>
    </row>
    <row r="118" spans="2:11" x14ac:dyDescent="0.2">
      <c r="B118" s="4">
        <f>IF(LoanIsGood,IF(ROW()-ROW(PaymentSchedule[[#Headers],[PMT NO]])&gt;ScheduledNumberOfPayments,"",ROW()-ROW(PaymentSchedule[[#Headers],[PMT NO]])),"")</f>
        <v>92</v>
      </c>
      <c r="C118" s="5">
        <f>IF(PaymentSchedule[[#This Row],[PMT NO]]&lt;&gt;"",EOMONTH(LoanStartDate,ROW(PaymentSchedule[[#This Row],[PMT NO]])-ROW(PaymentSchedule[[#Headers],[PMT NO]])-2)+DAY(LoanStartDate),"")</f>
        <v>48823</v>
      </c>
      <c r="D118" s="6">
        <f>IF(PaymentSchedule[[#This Row],[PMT NO]]&lt;&gt;"",IF(ROW()-ROW(PaymentSchedule[[#Headers],[BEGINNING BALANCE]])=1,LoanAmount,INDEX(PaymentSchedule[ENDING BALANCE],ROW()-ROW(PaymentSchedule[[#Headers],[BEGINNING BALANCE]])-1)),"")</f>
        <v>123989.43969286261</v>
      </c>
      <c r="E118" s="6">
        <f>IF(PaymentSchedule[[#This Row],[PMT NO]]&lt;&gt;"",ScheduledPayment,"")</f>
        <v>839.37073521385321</v>
      </c>
      <c r="F118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118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118" s="6">
        <f>IF(PaymentSchedule[[#This Row],[PMT NO]]&lt;&gt;"",PaymentSchedule[[#This Row],[TOTAL PAYMENT]]-PaymentSchedule[[#This Row],[INTEREST]],"")</f>
        <v>219.42353674954018</v>
      </c>
      <c r="I118" s="6">
        <f>IF(PaymentSchedule[[#This Row],[PMT NO]]&lt;&gt;"",PaymentSchedule[[#This Row],[BEGINNING BALANCE]]*(InterestRate/PaymentsPerYear),"")</f>
        <v>619.94719846431303</v>
      </c>
      <c r="J118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123770.01615611307</v>
      </c>
      <c r="K118" s="6">
        <f>IF(PaymentSchedule[[#This Row],[PMT NO]]&lt;&gt;"",SUM(INDEX(PaymentSchedule[INTEREST],1,1):PaymentSchedule[[#This Row],[INTEREST]]),"")</f>
        <v>60992.123795787615</v>
      </c>
    </row>
    <row r="119" spans="2:11" x14ac:dyDescent="0.2">
      <c r="B119" s="4">
        <f>IF(LoanIsGood,IF(ROW()-ROW(PaymentSchedule[[#Headers],[PMT NO]])&gt;ScheduledNumberOfPayments,"",ROW()-ROW(PaymentSchedule[[#Headers],[PMT NO]])),"")</f>
        <v>93</v>
      </c>
      <c r="C119" s="5">
        <f>IF(PaymentSchedule[[#This Row],[PMT NO]]&lt;&gt;"",EOMONTH(LoanStartDate,ROW(PaymentSchedule[[#This Row],[PMT NO]])-ROW(PaymentSchedule[[#Headers],[PMT NO]])-2)+DAY(LoanStartDate),"")</f>
        <v>48853</v>
      </c>
      <c r="D119" s="6">
        <f>IF(PaymentSchedule[[#This Row],[PMT NO]]&lt;&gt;"",IF(ROW()-ROW(PaymentSchedule[[#Headers],[BEGINNING BALANCE]])=1,LoanAmount,INDEX(PaymentSchedule[ENDING BALANCE],ROW()-ROW(PaymentSchedule[[#Headers],[BEGINNING BALANCE]])-1)),"")</f>
        <v>123770.01615611307</v>
      </c>
      <c r="E119" s="6">
        <f>IF(PaymentSchedule[[#This Row],[PMT NO]]&lt;&gt;"",ScheduledPayment,"")</f>
        <v>839.37073521385321</v>
      </c>
      <c r="F119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119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119" s="6">
        <f>IF(PaymentSchedule[[#This Row],[PMT NO]]&lt;&gt;"",PaymentSchedule[[#This Row],[TOTAL PAYMENT]]-PaymentSchedule[[#This Row],[INTEREST]],"")</f>
        <v>220.52065443328786</v>
      </c>
      <c r="I119" s="6">
        <f>IF(PaymentSchedule[[#This Row],[PMT NO]]&lt;&gt;"",PaymentSchedule[[#This Row],[BEGINNING BALANCE]]*(InterestRate/PaymentsPerYear),"")</f>
        <v>618.85008078056535</v>
      </c>
      <c r="J119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123549.49550167978</v>
      </c>
      <c r="K119" s="6">
        <f>IF(PaymentSchedule[[#This Row],[PMT NO]]&lt;&gt;"",SUM(INDEX(PaymentSchedule[INTEREST],1,1):PaymentSchedule[[#This Row],[INTEREST]]),"")</f>
        <v>61610.973876568183</v>
      </c>
    </row>
    <row r="120" spans="2:11" x14ac:dyDescent="0.2">
      <c r="B120" s="4">
        <f>IF(LoanIsGood,IF(ROW()-ROW(PaymentSchedule[[#Headers],[PMT NO]])&gt;ScheduledNumberOfPayments,"",ROW()-ROW(PaymentSchedule[[#Headers],[PMT NO]])),"")</f>
        <v>94</v>
      </c>
      <c r="C120" s="5">
        <f>IF(PaymentSchedule[[#This Row],[PMT NO]]&lt;&gt;"",EOMONTH(LoanStartDate,ROW(PaymentSchedule[[#This Row],[PMT NO]])-ROW(PaymentSchedule[[#Headers],[PMT NO]])-2)+DAY(LoanStartDate),"")</f>
        <v>48884</v>
      </c>
      <c r="D120" s="6">
        <f>IF(PaymentSchedule[[#This Row],[PMT NO]]&lt;&gt;"",IF(ROW()-ROW(PaymentSchedule[[#Headers],[BEGINNING BALANCE]])=1,LoanAmount,INDEX(PaymentSchedule[ENDING BALANCE],ROW()-ROW(PaymentSchedule[[#Headers],[BEGINNING BALANCE]])-1)),"")</f>
        <v>123549.49550167978</v>
      </c>
      <c r="E120" s="6">
        <f>IF(PaymentSchedule[[#This Row],[PMT NO]]&lt;&gt;"",ScheduledPayment,"")</f>
        <v>839.37073521385321</v>
      </c>
      <c r="F120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120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120" s="6">
        <f>IF(PaymentSchedule[[#This Row],[PMT NO]]&lt;&gt;"",PaymentSchedule[[#This Row],[TOTAL PAYMENT]]-PaymentSchedule[[#This Row],[INTEREST]],"")</f>
        <v>221.62325770545431</v>
      </c>
      <c r="I120" s="6">
        <f>IF(PaymentSchedule[[#This Row],[PMT NO]]&lt;&gt;"",PaymentSchedule[[#This Row],[BEGINNING BALANCE]]*(InterestRate/PaymentsPerYear),"")</f>
        <v>617.7474775083989</v>
      </c>
      <c r="J120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123327.87224397433</v>
      </c>
      <c r="K120" s="6">
        <f>IF(PaymentSchedule[[#This Row],[PMT NO]]&lt;&gt;"",SUM(INDEX(PaymentSchedule[INTEREST],1,1):PaymentSchedule[[#This Row],[INTEREST]]),"")</f>
        <v>62228.721354076581</v>
      </c>
    </row>
    <row r="121" spans="2:11" x14ac:dyDescent="0.2">
      <c r="B121" s="4">
        <f>IF(LoanIsGood,IF(ROW()-ROW(PaymentSchedule[[#Headers],[PMT NO]])&gt;ScheduledNumberOfPayments,"",ROW()-ROW(PaymentSchedule[[#Headers],[PMT NO]])),"")</f>
        <v>95</v>
      </c>
      <c r="C121" s="5">
        <f>IF(PaymentSchedule[[#This Row],[PMT NO]]&lt;&gt;"",EOMONTH(LoanStartDate,ROW(PaymentSchedule[[#This Row],[PMT NO]])-ROW(PaymentSchedule[[#Headers],[PMT NO]])-2)+DAY(LoanStartDate),"")</f>
        <v>48914</v>
      </c>
      <c r="D121" s="6">
        <f>IF(PaymentSchedule[[#This Row],[PMT NO]]&lt;&gt;"",IF(ROW()-ROW(PaymentSchedule[[#Headers],[BEGINNING BALANCE]])=1,LoanAmount,INDEX(PaymentSchedule[ENDING BALANCE],ROW()-ROW(PaymentSchedule[[#Headers],[BEGINNING BALANCE]])-1)),"")</f>
        <v>123327.87224397433</v>
      </c>
      <c r="E121" s="6">
        <f>IF(PaymentSchedule[[#This Row],[PMT NO]]&lt;&gt;"",ScheduledPayment,"")</f>
        <v>839.37073521385321</v>
      </c>
      <c r="F121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121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121" s="6">
        <f>IF(PaymentSchedule[[#This Row],[PMT NO]]&lt;&gt;"",PaymentSchedule[[#This Row],[TOTAL PAYMENT]]-PaymentSchedule[[#This Row],[INTEREST]],"")</f>
        <v>222.73137399398161</v>
      </c>
      <c r="I121" s="6">
        <f>IF(PaymentSchedule[[#This Row],[PMT NO]]&lt;&gt;"",PaymentSchedule[[#This Row],[BEGINNING BALANCE]]*(InterestRate/PaymentsPerYear),"")</f>
        <v>616.6393612198716</v>
      </c>
      <c r="J121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123105.14086998034</v>
      </c>
      <c r="K121" s="6">
        <f>IF(PaymentSchedule[[#This Row],[PMT NO]]&lt;&gt;"",SUM(INDEX(PaymentSchedule[INTEREST],1,1):PaymentSchedule[[#This Row],[INTEREST]]),"")</f>
        <v>62845.360715296454</v>
      </c>
    </row>
    <row r="122" spans="2:11" x14ac:dyDescent="0.2">
      <c r="B122" s="4">
        <f>IF(LoanIsGood,IF(ROW()-ROW(PaymentSchedule[[#Headers],[PMT NO]])&gt;ScheduledNumberOfPayments,"",ROW()-ROW(PaymentSchedule[[#Headers],[PMT NO]])),"")</f>
        <v>96</v>
      </c>
      <c r="C122" s="5">
        <f>IF(PaymentSchedule[[#This Row],[PMT NO]]&lt;&gt;"",EOMONTH(LoanStartDate,ROW(PaymentSchedule[[#This Row],[PMT NO]])-ROW(PaymentSchedule[[#Headers],[PMT NO]])-2)+DAY(LoanStartDate),"")</f>
        <v>48945</v>
      </c>
      <c r="D122" s="6">
        <f>IF(PaymentSchedule[[#This Row],[PMT NO]]&lt;&gt;"",IF(ROW()-ROW(PaymentSchedule[[#Headers],[BEGINNING BALANCE]])=1,LoanAmount,INDEX(PaymentSchedule[ENDING BALANCE],ROW()-ROW(PaymentSchedule[[#Headers],[BEGINNING BALANCE]])-1)),"")</f>
        <v>123105.14086998034</v>
      </c>
      <c r="E122" s="6">
        <f>IF(PaymentSchedule[[#This Row],[PMT NO]]&lt;&gt;"",ScheduledPayment,"")</f>
        <v>839.37073521385321</v>
      </c>
      <c r="F122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122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122" s="6">
        <f>IF(PaymentSchedule[[#This Row],[PMT NO]]&lt;&gt;"",PaymentSchedule[[#This Row],[TOTAL PAYMENT]]-PaymentSchedule[[#This Row],[INTEREST]],"")</f>
        <v>223.84503086395148</v>
      </c>
      <c r="I122" s="6">
        <f>IF(PaymentSchedule[[#This Row],[PMT NO]]&lt;&gt;"",PaymentSchedule[[#This Row],[BEGINNING BALANCE]]*(InterestRate/PaymentsPerYear),"")</f>
        <v>615.52570434990173</v>
      </c>
      <c r="J122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122881.29583911638</v>
      </c>
      <c r="K122" s="6">
        <f>IF(PaymentSchedule[[#This Row],[PMT NO]]&lt;&gt;"",SUM(INDEX(PaymentSchedule[INTEREST],1,1):PaymentSchedule[[#This Row],[INTEREST]]),"")</f>
        <v>63460.886419646355</v>
      </c>
    </row>
    <row r="123" spans="2:11" x14ac:dyDescent="0.2">
      <c r="B123" s="4">
        <f>IF(LoanIsGood,IF(ROW()-ROW(PaymentSchedule[[#Headers],[PMT NO]])&gt;ScheduledNumberOfPayments,"",ROW()-ROW(PaymentSchedule[[#Headers],[PMT NO]])),"")</f>
        <v>97</v>
      </c>
      <c r="C123" s="5">
        <f>IF(PaymentSchedule[[#This Row],[PMT NO]]&lt;&gt;"",EOMONTH(LoanStartDate,ROW(PaymentSchedule[[#This Row],[PMT NO]])-ROW(PaymentSchedule[[#Headers],[PMT NO]])-2)+DAY(LoanStartDate),"")</f>
        <v>48976</v>
      </c>
      <c r="D123" s="6">
        <f>IF(PaymentSchedule[[#This Row],[PMT NO]]&lt;&gt;"",IF(ROW()-ROW(PaymentSchedule[[#Headers],[BEGINNING BALANCE]])=1,LoanAmount,INDEX(PaymentSchedule[ENDING BALANCE],ROW()-ROW(PaymentSchedule[[#Headers],[BEGINNING BALANCE]])-1)),"")</f>
        <v>122881.29583911638</v>
      </c>
      <c r="E123" s="6">
        <f>IF(PaymentSchedule[[#This Row],[PMT NO]]&lt;&gt;"",ScheduledPayment,"")</f>
        <v>839.37073521385321</v>
      </c>
      <c r="F123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123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123" s="6">
        <f>IF(PaymentSchedule[[#This Row],[PMT NO]]&lt;&gt;"",PaymentSchedule[[#This Row],[TOTAL PAYMENT]]-PaymentSchedule[[#This Row],[INTEREST]],"")</f>
        <v>224.96425601827127</v>
      </c>
      <c r="I123" s="6">
        <f>IF(PaymentSchedule[[#This Row],[PMT NO]]&lt;&gt;"",PaymentSchedule[[#This Row],[BEGINNING BALANCE]]*(InterestRate/PaymentsPerYear),"")</f>
        <v>614.40647919558194</v>
      </c>
      <c r="J123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122656.33158309812</v>
      </c>
      <c r="K123" s="6">
        <f>IF(PaymentSchedule[[#This Row],[PMT NO]]&lt;&gt;"",SUM(INDEX(PaymentSchedule[INTEREST],1,1):PaymentSchedule[[#This Row],[INTEREST]]),"")</f>
        <v>64075.292898841937</v>
      </c>
    </row>
    <row r="124" spans="2:11" x14ac:dyDescent="0.2">
      <c r="B124" s="4">
        <f>IF(LoanIsGood,IF(ROW()-ROW(PaymentSchedule[[#Headers],[PMT NO]])&gt;ScheduledNumberOfPayments,"",ROW()-ROW(PaymentSchedule[[#Headers],[PMT NO]])),"")</f>
        <v>98</v>
      </c>
      <c r="C124" s="5">
        <f>IF(PaymentSchedule[[#This Row],[PMT NO]]&lt;&gt;"",EOMONTH(LoanStartDate,ROW(PaymentSchedule[[#This Row],[PMT NO]])-ROW(PaymentSchedule[[#Headers],[PMT NO]])-2)+DAY(LoanStartDate),"")</f>
        <v>49004</v>
      </c>
      <c r="D124" s="6">
        <f>IF(PaymentSchedule[[#This Row],[PMT NO]]&lt;&gt;"",IF(ROW()-ROW(PaymentSchedule[[#Headers],[BEGINNING BALANCE]])=1,LoanAmount,INDEX(PaymentSchedule[ENDING BALANCE],ROW()-ROW(PaymentSchedule[[#Headers],[BEGINNING BALANCE]])-1)),"")</f>
        <v>122656.33158309812</v>
      </c>
      <c r="E124" s="6">
        <f>IF(PaymentSchedule[[#This Row],[PMT NO]]&lt;&gt;"",ScheduledPayment,"")</f>
        <v>839.37073521385321</v>
      </c>
      <c r="F124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124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124" s="6">
        <f>IF(PaymentSchedule[[#This Row],[PMT NO]]&lt;&gt;"",PaymentSchedule[[#This Row],[TOTAL PAYMENT]]-PaymentSchedule[[#This Row],[INTEREST]],"")</f>
        <v>226.08907729836267</v>
      </c>
      <c r="I124" s="6">
        <f>IF(PaymentSchedule[[#This Row],[PMT NO]]&lt;&gt;"",PaymentSchedule[[#This Row],[BEGINNING BALANCE]]*(InterestRate/PaymentsPerYear),"")</f>
        <v>613.28165791549054</v>
      </c>
      <c r="J124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122430.24250579975</v>
      </c>
      <c r="K124" s="6">
        <f>IF(PaymentSchedule[[#This Row],[PMT NO]]&lt;&gt;"",SUM(INDEX(PaymentSchedule[INTEREST],1,1):PaymentSchedule[[#This Row],[INTEREST]]),"")</f>
        <v>64688.574556757427</v>
      </c>
    </row>
    <row r="125" spans="2:11" x14ac:dyDescent="0.2">
      <c r="B125" s="4">
        <f>IF(LoanIsGood,IF(ROW()-ROW(PaymentSchedule[[#Headers],[PMT NO]])&gt;ScheduledNumberOfPayments,"",ROW()-ROW(PaymentSchedule[[#Headers],[PMT NO]])),"")</f>
        <v>99</v>
      </c>
      <c r="C125" s="5">
        <f>IF(PaymentSchedule[[#This Row],[PMT NO]]&lt;&gt;"",EOMONTH(LoanStartDate,ROW(PaymentSchedule[[#This Row],[PMT NO]])-ROW(PaymentSchedule[[#Headers],[PMT NO]])-2)+DAY(LoanStartDate),"")</f>
        <v>49035</v>
      </c>
      <c r="D125" s="6">
        <f>IF(PaymentSchedule[[#This Row],[PMT NO]]&lt;&gt;"",IF(ROW()-ROW(PaymentSchedule[[#Headers],[BEGINNING BALANCE]])=1,LoanAmount,INDEX(PaymentSchedule[ENDING BALANCE],ROW()-ROW(PaymentSchedule[[#Headers],[BEGINNING BALANCE]])-1)),"")</f>
        <v>122430.24250579975</v>
      </c>
      <c r="E125" s="6">
        <f>IF(PaymentSchedule[[#This Row],[PMT NO]]&lt;&gt;"",ScheduledPayment,"")</f>
        <v>839.37073521385321</v>
      </c>
      <c r="F125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125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125" s="6">
        <f>IF(PaymentSchedule[[#This Row],[PMT NO]]&lt;&gt;"",PaymentSchedule[[#This Row],[TOTAL PAYMENT]]-PaymentSchedule[[#This Row],[INTEREST]],"")</f>
        <v>227.2195226848545</v>
      </c>
      <c r="I125" s="6">
        <f>IF(PaymentSchedule[[#This Row],[PMT NO]]&lt;&gt;"",PaymentSchedule[[#This Row],[BEGINNING BALANCE]]*(InterestRate/PaymentsPerYear),"")</f>
        <v>612.15121252899871</v>
      </c>
      <c r="J125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122203.02298311489</v>
      </c>
      <c r="K125" s="6">
        <f>IF(PaymentSchedule[[#This Row],[PMT NO]]&lt;&gt;"",SUM(INDEX(PaymentSchedule[INTEREST],1,1):PaymentSchedule[[#This Row],[INTEREST]]),"")</f>
        <v>65300.725769286422</v>
      </c>
    </row>
    <row r="126" spans="2:11" x14ac:dyDescent="0.2">
      <c r="B126" s="4">
        <f>IF(LoanIsGood,IF(ROW()-ROW(PaymentSchedule[[#Headers],[PMT NO]])&gt;ScheduledNumberOfPayments,"",ROW()-ROW(PaymentSchedule[[#Headers],[PMT NO]])),"")</f>
        <v>100</v>
      </c>
      <c r="C126" s="5">
        <f>IF(PaymentSchedule[[#This Row],[PMT NO]]&lt;&gt;"",EOMONTH(LoanStartDate,ROW(PaymentSchedule[[#This Row],[PMT NO]])-ROW(PaymentSchedule[[#Headers],[PMT NO]])-2)+DAY(LoanStartDate),"")</f>
        <v>49065</v>
      </c>
      <c r="D126" s="6">
        <f>IF(PaymentSchedule[[#This Row],[PMT NO]]&lt;&gt;"",IF(ROW()-ROW(PaymentSchedule[[#Headers],[BEGINNING BALANCE]])=1,LoanAmount,INDEX(PaymentSchedule[ENDING BALANCE],ROW()-ROW(PaymentSchedule[[#Headers],[BEGINNING BALANCE]])-1)),"")</f>
        <v>122203.02298311489</v>
      </c>
      <c r="E126" s="6">
        <f>IF(PaymentSchedule[[#This Row],[PMT NO]]&lt;&gt;"",ScheduledPayment,"")</f>
        <v>839.37073521385321</v>
      </c>
      <c r="F126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126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126" s="6">
        <f>IF(PaymentSchedule[[#This Row],[PMT NO]]&lt;&gt;"",PaymentSchedule[[#This Row],[TOTAL PAYMENT]]-PaymentSchedule[[#This Row],[INTEREST]],"")</f>
        <v>228.35562029827872</v>
      </c>
      <c r="I126" s="6">
        <f>IF(PaymentSchedule[[#This Row],[PMT NO]]&lt;&gt;"",PaymentSchedule[[#This Row],[BEGINNING BALANCE]]*(InterestRate/PaymentsPerYear),"")</f>
        <v>611.01511491557449</v>
      </c>
      <c r="J126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121974.66736281662</v>
      </c>
      <c r="K126" s="6">
        <f>IF(PaymentSchedule[[#This Row],[PMT NO]]&lt;&gt;"",SUM(INDEX(PaymentSchedule[INTEREST],1,1):PaymentSchedule[[#This Row],[INTEREST]]),"")</f>
        <v>65911.740884201994</v>
      </c>
    </row>
    <row r="127" spans="2:11" x14ac:dyDescent="0.2">
      <c r="B127" s="4">
        <f>IF(LoanIsGood,IF(ROW()-ROW(PaymentSchedule[[#Headers],[PMT NO]])&gt;ScheduledNumberOfPayments,"",ROW()-ROW(PaymentSchedule[[#Headers],[PMT NO]])),"")</f>
        <v>101</v>
      </c>
      <c r="C127" s="5">
        <f>IF(PaymentSchedule[[#This Row],[PMT NO]]&lt;&gt;"",EOMONTH(LoanStartDate,ROW(PaymentSchedule[[#This Row],[PMT NO]])-ROW(PaymentSchedule[[#Headers],[PMT NO]])-2)+DAY(LoanStartDate),"")</f>
        <v>49096</v>
      </c>
      <c r="D127" s="6">
        <f>IF(PaymentSchedule[[#This Row],[PMT NO]]&lt;&gt;"",IF(ROW()-ROW(PaymentSchedule[[#Headers],[BEGINNING BALANCE]])=1,LoanAmount,INDEX(PaymentSchedule[ENDING BALANCE],ROW()-ROW(PaymentSchedule[[#Headers],[BEGINNING BALANCE]])-1)),"")</f>
        <v>121974.66736281662</v>
      </c>
      <c r="E127" s="6">
        <f>IF(PaymentSchedule[[#This Row],[PMT NO]]&lt;&gt;"",ScheduledPayment,"")</f>
        <v>839.37073521385321</v>
      </c>
      <c r="F127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127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127" s="6">
        <f>IF(PaymentSchedule[[#This Row],[PMT NO]]&lt;&gt;"",PaymentSchedule[[#This Row],[TOTAL PAYMENT]]-PaymentSchedule[[#This Row],[INTEREST]],"")</f>
        <v>229.49739839977008</v>
      </c>
      <c r="I127" s="6">
        <f>IF(PaymentSchedule[[#This Row],[PMT NO]]&lt;&gt;"",PaymentSchedule[[#This Row],[BEGINNING BALANCE]]*(InterestRate/PaymentsPerYear),"")</f>
        <v>609.87333681408313</v>
      </c>
      <c r="J127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121745.16996441684</v>
      </c>
      <c r="K127" s="6">
        <f>IF(PaymentSchedule[[#This Row],[PMT NO]]&lt;&gt;"",SUM(INDEX(PaymentSchedule[INTEREST],1,1):PaymentSchedule[[#This Row],[INTEREST]]),"")</f>
        <v>66521.614221016076</v>
      </c>
    </row>
    <row r="128" spans="2:11" x14ac:dyDescent="0.2">
      <c r="B128" s="4">
        <f>IF(LoanIsGood,IF(ROW()-ROW(PaymentSchedule[[#Headers],[PMT NO]])&gt;ScheduledNumberOfPayments,"",ROW()-ROW(PaymentSchedule[[#Headers],[PMT NO]])),"")</f>
        <v>102</v>
      </c>
      <c r="C128" s="5">
        <f>IF(PaymentSchedule[[#This Row],[PMT NO]]&lt;&gt;"",EOMONTH(LoanStartDate,ROW(PaymentSchedule[[#This Row],[PMT NO]])-ROW(PaymentSchedule[[#Headers],[PMT NO]])-2)+DAY(LoanStartDate),"")</f>
        <v>49126</v>
      </c>
      <c r="D128" s="6">
        <f>IF(PaymentSchedule[[#This Row],[PMT NO]]&lt;&gt;"",IF(ROW()-ROW(PaymentSchedule[[#Headers],[BEGINNING BALANCE]])=1,LoanAmount,INDEX(PaymentSchedule[ENDING BALANCE],ROW()-ROW(PaymentSchedule[[#Headers],[BEGINNING BALANCE]])-1)),"")</f>
        <v>121745.16996441684</v>
      </c>
      <c r="E128" s="6">
        <f>IF(PaymentSchedule[[#This Row],[PMT NO]]&lt;&gt;"",ScheduledPayment,"")</f>
        <v>839.37073521385321</v>
      </c>
      <c r="F128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128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128" s="6">
        <f>IF(PaymentSchedule[[#This Row],[PMT NO]]&lt;&gt;"",PaymentSchedule[[#This Row],[TOTAL PAYMENT]]-PaymentSchedule[[#This Row],[INTEREST]],"")</f>
        <v>230.64488539176898</v>
      </c>
      <c r="I128" s="6">
        <f>IF(PaymentSchedule[[#This Row],[PMT NO]]&lt;&gt;"",PaymentSchedule[[#This Row],[BEGINNING BALANCE]]*(InterestRate/PaymentsPerYear),"")</f>
        <v>608.72584982208423</v>
      </c>
      <c r="J128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121514.52507902507</v>
      </c>
      <c r="K128" s="6">
        <f>IF(PaymentSchedule[[#This Row],[PMT NO]]&lt;&gt;"",SUM(INDEX(PaymentSchedule[INTEREST],1,1):PaymentSchedule[[#This Row],[INTEREST]]),"")</f>
        <v>67130.340070838167</v>
      </c>
    </row>
    <row r="129" spans="2:11" x14ac:dyDescent="0.2">
      <c r="B129" s="4">
        <f>IF(LoanIsGood,IF(ROW()-ROW(PaymentSchedule[[#Headers],[PMT NO]])&gt;ScheduledNumberOfPayments,"",ROW()-ROW(PaymentSchedule[[#Headers],[PMT NO]])),"")</f>
        <v>103</v>
      </c>
      <c r="C129" s="5">
        <f>IF(PaymentSchedule[[#This Row],[PMT NO]]&lt;&gt;"",EOMONTH(LoanStartDate,ROW(PaymentSchedule[[#This Row],[PMT NO]])-ROW(PaymentSchedule[[#Headers],[PMT NO]])-2)+DAY(LoanStartDate),"")</f>
        <v>49157</v>
      </c>
      <c r="D129" s="6">
        <f>IF(PaymentSchedule[[#This Row],[PMT NO]]&lt;&gt;"",IF(ROW()-ROW(PaymentSchedule[[#Headers],[BEGINNING BALANCE]])=1,LoanAmount,INDEX(PaymentSchedule[ENDING BALANCE],ROW()-ROW(PaymentSchedule[[#Headers],[BEGINNING BALANCE]])-1)),"")</f>
        <v>121514.52507902507</v>
      </c>
      <c r="E129" s="6">
        <f>IF(PaymentSchedule[[#This Row],[PMT NO]]&lt;&gt;"",ScheduledPayment,"")</f>
        <v>839.37073521385321</v>
      </c>
      <c r="F129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129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129" s="6">
        <f>IF(PaymentSchedule[[#This Row],[PMT NO]]&lt;&gt;"",PaymentSchedule[[#This Row],[TOTAL PAYMENT]]-PaymentSchedule[[#This Row],[INTEREST]],"")</f>
        <v>231.79810981872788</v>
      </c>
      <c r="I129" s="6">
        <f>IF(PaymentSchedule[[#This Row],[PMT NO]]&lt;&gt;"",PaymentSchedule[[#This Row],[BEGINNING BALANCE]]*(InterestRate/PaymentsPerYear),"")</f>
        <v>607.57262539512533</v>
      </c>
      <c r="J129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121282.72696920634</v>
      </c>
      <c r="K129" s="6">
        <f>IF(PaymentSchedule[[#This Row],[PMT NO]]&lt;&gt;"",SUM(INDEX(PaymentSchedule[INTEREST],1,1):PaymentSchedule[[#This Row],[INTEREST]]),"")</f>
        <v>67737.912696233296</v>
      </c>
    </row>
    <row r="130" spans="2:11" x14ac:dyDescent="0.2">
      <c r="B130" s="4">
        <f>IF(LoanIsGood,IF(ROW()-ROW(PaymentSchedule[[#Headers],[PMT NO]])&gt;ScheduledNumberOfPayments,"",ROW()-ROW(PaymentSchedule[[#Headers],[PMT NO]])),"")</f>
        <v>104</v>
      </c>
      <c r="C130" s="5">
        <f>IF(PaymentSchedule[[#This Row],[PMT NO]]&lt;&gt;"",EOMONTH(LoanStartDate,ROW(PaymentSchedule[[#This Row],[PMT NO]])-ROW(PaymentSchedule[[#Headers],[PMT NO]])-2)+DAY(LoanStartDate),"")</f>
        <v>49188</v>
      </c>
      <c r="D130" s="6">
        <f>IF(PaymentSchedule[[#This Row],[PMT NO]]&lt;&gt;"",IF(ROW()-ROW(PaymentSchedule[[#Headers],[BEGINNING BALANCE]])=1,LoanAmount,INDEX(PaymentSchedule[ENDING BALANCE],ROW()-ROW(PaymentSchedule[[#Headers],[BEGINNING BALANCE]])-1)),"")</f>
        <v>121282.72696920634</v>
      </c>
      <c r="E130" s="6">
        <f>IF(PaymentSchedule[[#This Row],[PMT NO]]&lt;&gt;"",ScheduledPayment,"")</f>
        <v>839.37073521385321</v>
      </c>
      <c r="F130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130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130" s="6">
        <f>IF(PaymentSchedule[[#This Row],[PMT NO]]&lt;&gt;"",PaymentSchedule[[#This Row],[TOTAL PAYMENT]]-PaymentSchedule[[#This Row],[INTEREST]],"")</f>
        <v>232.95710036782145</v>
      </c>
      <c r="I130" s="6">
        <f>IF(PaymentSchedule[[#This Row],[PMT NO]]&lt;&gt;"",PaymentSchedule[[#This Row],[BEGINNING BALANCE]]*(InterestRate/PaymentsPerYear),"")</f>
        <v>606.41363484603175</v>
      </c>
      <c r="J130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121049.76986883851</v>
      </c>
      <c r="K130" s="6">
        <f>IF(PaymentSchedule[[#This Row],[PMT NO]]&lt;&gt;"",SUM(INDEX(PaymentSchedule[INTEREST],1,1):PaymentSchedule[[#This Row],[INTEREST]]),"")</f>
        <v>68344.326331079326</v>
      </c>
    </row>
    <row r="131" spans="2:11" x14ac:dyDescent="0.2">
      <c r="B131" s="4">
        <f>IF(LoanIsGood,IF(ROW()-ROW(PaymentSchedule[[#Headers],[PMT NO]])&gt;ScheduledNumberOfPayments,"",ROW()-ROW(PaymentSchedule[[#Headers],[PMT NO]])),"")</f>
        <v>105</v>
      </c>
      <c r="C131" s="5">
        <f>IF(PaymentSchedule[[#This Row],[PMT NO]]&lt;&gt;"",EOMONTH(LoanStartDate,ROW(PaymentSchedule[[#This Row],[PMT NO]])-ROW(PaymentSchedule[[#Headers],[PMT NO]])-2)+DAY(LoanStartDate),"")</f>
        <v>49218</v>
      </c>
      <c r="D131" s="6">
        <f>IF(PaymentSchedule[[#This Row],[PMT NO]]&lt;&gt;"",IF(ROW()-ROW(PaymentSchedule[[#Headers],[BEGINNING BALANCE]])=1,LoanAmount,INDEX(PaymentSchedule[ENDING BALANCE],ROW()-ROW(PaymentSchedule[[#Headers],[BEGINNING BALANCE]])-1)),"")</f>
        <v>121049.76986883851</v>
      </c>
      <c r="E131" s="6">
        <f>IF(PaymentSchedule[[#This Row],[PMT NO]]&lt;&gt;"",ScheduledPayment,"")</f>
        <v>839.37073521385321</v>
      </c>
      <c r="F131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131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131" s="6">
        <f>IF(PaymentSchedule[[#This Row],[PMT NO]]&lt;&gt;"",PaymentSchedule[[#This Row],[TOTAL PAYMENT]]-PaymentSchedule[[#This Row],[INTEREST]],"")</f>
        <v>234.12188586966067</v>
      </c>
      <c r="I131" s="6">
        <f>IF(PaymentSchedule[[#This Row],[PMT NO]]&lt;&gt;"",PaymentSchedule[[#This Row],[BEGINNING BALANCE]]*(InterestRate/PaymentsPerYear),"")</f>
        <v>605.24884934419254</v>
      </c>
      <c r="J131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120815.64798296885</v>
      </c>
      <c r="K131" s="6">
        <f>IF(PaymentSchedule[[#This Row],[PMT NO]]&lt;&gt;"",SUM(INDEX(PaymentSchedule[INTEREST],1,1):PaymentSchedule[[#This Row],[INTEREST]]),"")</f>
        <v>68949.575180423519</v>
      </c>
    </row>
    <row r="132" spans="2:11" x14ac:dyDescent="0.2">
      <c r="B132" s="4">
        <f>IF(LoanIsGood,IF(ROW()-ROW(PaymentSchedule[[#Headers],[PMT NO]])&gt;ScheduledNumberOfPayments,"",ROW()-ROW(PaymentSchedule[[#Headers],[PMT NO]])),"")</f>
        <v>106</v>
      </c>
      <c r="C132" s="5">
        <f>IF(PaymentSchedule[[#This Row],[PMT NO]]&lt;&gt;"",EOMONTH(LoanStartDate,ROW(PaymentSchedule[[#This Row],[PMT NO]])-ROW(PaymentSchedule[[#Headers],[PMT NO]])-2)+DAY(LoanStartDate),"")</f>
        <v>49249</v>
      </c>
      <c r="D132" s="6">
        <f>IF(PaymentSchedule[[#This Row],[PMT NO]]&lt;&gt;"",IF(ROW()-ROW(PaymentSchedule[[#Headers],[BEGINNING BALANCE]])=1,LoanAmount,INDEX(PaymentSchedule[ENDING BALANCE],ROW()-ROW(PaymentSchedule[[#Headers],[BEGINNING BALANCE]])-1)),"")</f>
        <v>120815.64798296885</v>
      </c>
      <c r="E132" s="6">
        <f>IF(PaymentSchedule[[#This Row],[PMT NO]]&lt;&gt;"",ScheduledPayment,"")</f>
        <v>839.37073521385321</v>
      </c>
      <c r="F132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132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132" s="6">
        <f>IF(PaymentSchedule[[#This Row],[PMT NO]]&lt;&gt;"",PaymentSchedule[[#This Row],[TOTAL PAYMENT]]-PaymentSchedule[[#This Row],[INTEREST]],"")</f>
        <v>235.29249529900892</v>
      </c>
      <c r="I132" s="6">
        <f>IF(PaymentSchedule[[#This Row],[PMT NO]]&lt;&gt;"",PaymentSchedule[[#This Row],[BEGINNING BALANCE]]*(InterestRate/PaymentsPerYear),"")</f>
        <v>604.07823991484429</v>
      </c>
      <c r="J132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120580.35548766983</v>
      </c>
      <c r="K132" s="6">
        <f>IF(PaymentSchedule[[#This Row],[PMT NO]]&lt;&gt;"",SUM(INDEX(PaymentSchedule[INTEREST],1,1):PaymentSchedule[[#This Row],[INTEREST]]),"")</f>
        <v>69553.653420338364</v>
      </c>
    </row>
    <row r="133" spans="2:11" x14ac:dyDescent="0.2">
      <c r="B133" s="4">
        <f>IF(LoanIsGood,IF(ROW()-ROW(PaymentSchedule[[#Headers],[PMT NO]])&gt;ScheduledNumberOfPayments,"",ROW()-ROW(PaymentSchedule[[#Headers],[PMT NO]])),"")</f>
        <v>107</v>
      </c>
      <c r="C133" s="5">
        <f>IF(PaymentSchedule[[#This Row],[PMT NO]]&lt;&gt;"",EOMONTH(LoanStartDate,ROW(PaymentSchedule[[#This Row],[PMT NO]])-ROW(PaymentSchedule[[#Headers],[PMT NO]])-2)+DAY(LoanStartDate),"")</f>
        <v>49279</v>
      </c>
      <c r="D133" s="6">
        <f>IF(PaymentSchedule[[#This Row],[PMT NO]]&lt;&gt;"",IF(ROW()-ROW(PaymentSchedule[[#Headers],[BEGINNING BALANCE]])=1,LoanAmount,INDEX(PaymentSchedule[ENDING BALANCE],ROW()-ROW(PaymentSchedule[[#Headers],[BEGINNING BALANCE]])-1)),"")</f>
        <v>120580.35548766983</v>
      </c>
      <c r="E133" s="6">
        <f>IF(PaymentSchedule[[#This Row],[PMT NO]]&lt;&gt;"",ScheduledPayment,"")</f>
        <v>839.37073521385321</v>
      </c>
      <c r="F133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133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133" s="6">
        <f>IF(PaymentSchedule[[#This Row],[PMT NO]]&lt;&gt;"",PaymentSchedule[[#This Row],[TOTAL PAYMENT]]-PaymentSchedule[[#This Row],[INTEREST]],"")</f>
        <v>236.46895777550401</v>
      </c>
      <c r="I133" s="6">
        <f>IF(PaymentSchedule[[#This Row],[PMT NO]]&lt;&gt;"",PaymentSchedule[[#This Row],[BEGINNING BALANCE]]*(InterestRate/PaymentsPerYear),"")</f>
        <v>602.9017774383492</v>
      </c>
      <c r="J133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120343.88652989433</v>
      </c>
      <c r="K133" s="6">
        <f>IF(PaymentSchedule[[#This Row],[PMT NO]]&lt;&gt;"",SUM(INDEX(PaymentSchedule[INTEREST],1,1):PaymentSchedule[[#This Row],[INTEREST]]),"")</f>
        <v>70156.555197776717</v>
      </c>
    </row>
    <row r="134" spans="2:11" x14ac:dyDescent="0.2">
      <c r="B134" s="4">
        <f>IF(LoanIsGood,IF(ROW()-ROW(PaymentSchedule[[#Headers],[PMT NO]])&gt;ScheduledNumberOfPayments,"",ROW()-ROW(PaymentSchedule[[#Headers],[PMT NO]])),"")</f>
        <v>108</v>
      </c>
      <c r="C134" s="5">
        <f>IF(PaymentSchedule[[#This Row],[PMT NO]]&lt;&gt;"",EOMONTH(LoanStartDate,ROW(PaymentSchedule[[#This Row],[PMT NO]])-ROW(PaymentSchedule[[#Headers],[PMT NO]])-2)+DAY(LoanStartDate),"")</f>
        <v>49310</v>
      </c>
      <c r="D134" s="6">
        <f>IF(PaymentSchedule[[#This Row],[PMT NO]]&lt;&gt;"",IF(ROW()-ROW(PaymentSchedule[[#Headers],[BEGINNING BALANCE]])=1,LoanAmount,INDEX(PaymentSchedule[ENDING BALANCE],ROW()-ROW(PaymentSchedule[[#Headers],[BEGINNING BALANCE]])-1)),"")</f>
        <v>120343.88652989433</v>
      </c>
      <c r="E134" s="6">
        <f>IF(PaymentSchedule[[#This Row],[PMT NO]]&lt;&gt;"",ScheduledPayment,"")</f>
        <v>839.37073521385321</v>
      </c>
      <c r="F134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134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134" s="6">
        <f>IF(PaymentSchedule[[#This Row],[PMT NO]]&lt;&gt;"",PaymentSchedule[[#This Row],[TOTAL PAYMENT]]-PaymentSchedule[[#This Row],[INTEREST]],"")</f>
        <v>237.65130256438158</v>
      </c>
      <c r="I134" s="6">
        <f>IF(PaymentSchedule[[#This Row],[PMT NO]]&lt;&gt;"",PaymentSchedule[[#This Row],[BEGINNING BALANCE]]*(InterestRate/PaymentsPerYear),"")</f>
        <v>601.71943264947163</v>
      </c>
      <c r="J134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120106.23522732995</v>
      </c>
      <c r="K134" s="6">
        <f>IF(PaymentSchedule[[#This Row],[PMT NO]]&lt;&gt;"",SUM(INDEX(PaymentSchedule[INTEREST],1,1):PaymentSchedule[[#This Row],[INTEREST]]),"")</f>
        <v>70758.274630426182</v>
      </c>
    </row>
    <row r="135" spans="2:11" x14ac:dyDescent="0.2">
      <c r="B135" s="4">
        <f>IF(LoanIsGood,IF(ROW()-ROW(PaymentSchedule[[#Headers],[PMT NO]])&gt;ScheduledNumberOfPayments,"",ROW()-ROW(PaymentSchedule[[#Headers],[PMT NO]])),"")</f>
        <v>109</v>
      </c>
      <c r="C135" s="5">
        <f>IF(PaymentSchedule[[#This Row],[PMT NO]]&lt;&gt;"",EOMONTH(LoanStartDate,ROW(PaymentSchedule[[#This Row],[PMT NO]])-ROW(PaymentSchedule[[#Headers],[PMT NO]])-2)+DAY(LoanStartDate),"")</f>
        <v>49341</v>
      </c>
      <c r="D135" s="6">
        <f>IF(PaymentSchedule[[#This Row],[PMT NO]]&lt;&gt;"",IF(ROW()-ROW(PaymentSchedule[[#Headers],[BEGINNING BALANCE]])=1,LoanAmount,INDEX(PaymentSchedule[ENDING BALANCE],ROW()-ROW(PaymentSchedule[[#Headers],[BEGINNING BALANCE]])-1)),"")</f>
        <v>120106.23522732995</v>
      </c>
      <c r="E135" s="6">
        <f>IF(PaymentSchedule[[#This Row],[PMT NO]]&lt;&gt;"",ScheduledPayment,"")</f>
        <v>839.37073521385321</v>
      </c>
      <c r="F135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135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135" s="6">
        <f>IF(PaymentSchedule[[#This Row],[PMT NO]]&lt;&gt;"",PaymentSchedule[[#This Row],[TOTAL PAYMENT]]-PaymentSchedule[[#This Row],[INTEREST]],"")</f>
        <v>238.83955907720349</v>
      </c>
      <c r="I135" s="6">
        <f>IF(PaymentSchedule[[#This Row],[PMT NO]]&lt;&gt;"",PaymentSchedule[[#This Row],[BEGINNING BALANCE]]*(InterestRate/PaymentsPerYear),"")</f>
        <v>600.53117613664972</v>
      </c>
      <c r="J135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119867.39566825275</v>
      </c>
      <c r="K135" s="6">
        <f>IF(PaymentSchedule[[#This Row],[PMT NO]]&lt;&gt;"",SUM(INDEX(PaymentSchedule[INTEREST],1,1):PaymentSchedule[[#This Row],[INTEREST]]),"")</f>
        <v>71358.805806562828</v>
      </c>
    </row>
    <row r="136" spans="2:11" x14ac:dyDescent="0.2">
      <c r="B136" s="4">
        <f>IF(LoanIsGood,IF(ROW()-ROW(PaymentSchedule[[#Headers],[PMT NO]])&gt;ScheduledNumberOfPayments,"",ROW()-ROW(PaymentSchedule[[#Headers],[PMT NO]])),"")</f>
        <v>110</v>
      </c>
      <c r="C136" s="5">
        <f>IF(PaymentSchedule[[#This Row],[PMT NO]]&lt;&gt;"",EOMONTH(LoanStartDate,ROW(PaymentSchedule[[#This Row],[PMT NO]])-ROW(PaymentSchedule[[#Headers],[PMT NO]])-2)+DAY(LoanStartDate),"")</f>
        <v>49369</v>
      </c>
      <c r="D136" s="6">
        <f>IF(PaymentSchedule[[#This Row],[PMT NO]]&lt;&gt;"",IF(ROW()-ROW(PaymentSchedule[[#Headers],[BEGINNING BALANCE]])=1,LoanAmount,INDEX(PaymentSchedule[ENDING BALANCE],ROW()-ROW(PaymentSchedule[[#Headers],[BEGINNING BALANCE]])-1)),"")</f>
        <v>119867.39566825275</v>
      </c>
      <c r="E136" s="6">
        <f>IF(PaymentSchedule[[#This Row],[PMT NO]]&lt;&gt;"",ScheduledPayment,"")</f>
        <v>839.37073521385321</v>
      </c>
      <c r="F136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136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136" s="6">
        <f>IF(PaymentSchedule[[#This Row],[PMT NO]]&lt;&gt;"",PaymentSchedule[[#This Row],[TOTAL PAYMENT]]-PaymentSchedule[[#This Row],[INTEREST]],"")</f>
        <v>240.03375687258949</v>
      </c>
      <c r="I136" s="6">
        <f>IF(PaymentSchedule[[#This Row],[PMT NO]]&lt;&gt;"",PaymentSchedule[[#This Row],[BEGINNING BALANCE]]*(InterestRate/PaymentsPerYear),"")</f>
        <v>599.33697834126372</v>
      </c>
      <c r="J136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119627.36191138015</v>
      </c>
      <c r="K136" s="6">
        <f>IF(PaymentSchedule[[#This Row],[PMT NO]]&lt;&gt;"",SUM(INDEX(PaymentSchedule[INTEREST],1,1):PaymentSchedule[[#This Row],[INTEREST]]),"")</f>
        <v>71958.142784904092</v>
      </c>
    </row>
    <row r="137" spans="2:11" x14ac:dyDescent="0.2">
      <c r="B137" s="4">
        <f>IF(LoanIsGood,IF(ROW()-ROW(PaymentSchedule[[#Headers],[PMT NO]])&gt;ScheduledNumberOfPayments,"",ROW()-ROW(PaymentSchedule[[#Headers],[PMT NO]])),"")</f>
        <v>111</v>
      </c>
      <c r="C137" s="5">
        <f>IF(PaymentSchedule[[#This Row],[PMT NO]]&lt;&gt;"",EOMONTH(LoanStartDate,ROW(PaymentSchedule[[#This Row],[PMT NO]])-ROW(PaymentSchedule[[#Headers],[PMT NO]])-2)+DAY(LoanStartDate),"")</f>
        <v>49400</v>
      </c>
      <c r="D137" s="6">
        <f>IF(PaymentSchedule[[#This Row],[PMT NO]]&lt;&gt;"",IF(ROW()-ROW(PaymentSchedule[[#Headers],[BEGINNING BALANCE]])=1,LoanAmount,INDEX(PaymentSchedule[ENDING BALANCE],ROW()-ROW(PaymentSchedule[[#Headers],[BEGINNING BALANCE]])-1)),"")</f>
        <v>119627.36191138015</v>
      </c>
      <c r="E137" s="6">
        <f>IF(PaymentSchedule[[#This Row],[PMT NO]]&lt;&gt;"",ScheduledPayment,"")</f>
        <v>839.37073521385321</v>
      </c>
      <c r="F137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137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137" s="6">
        <f>IF(PaymentSchedule[[#This Row],[PMT NO]]&lt;&gt;"",PaymentSchedule[[#This Row],[TOTAL PAYMENT]]-PaymentSchedule[[#This Row],[INTEREST]],"")</f>
        <v>241.23392565695247</v>
      </c>
      <c r="I137" s="6">
        <f>IF(PaymentSchedule[[#This Row],[PMT NO]]&lt;&gt;"",PaymentSchedule[[#This Row],[BEGINNING BALANCE]]*(InterestRate/PaymentsPerYear),"")</f>
        <v>598.13680955690074</v>
      </c>
      <c r="J137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119386.1279857232</v>
      </c>
      <c r="K137" s="6">
        <f>IF(PaymentSchedule[[#This Row],[PMT NO]]&lt;&gt;"",SUM(INDEX(PaymentSchedule[INTEREST],1,1):PaymentSchedule[[#This Row],[INTEREST]]),"")</f>
        <v>72556.279594460997</v>
      </c>
    </row>
    <row r="138" spans="2:11" x14ac:dyDescent="0.2">
      <c r="B138" s="4">
        <f>IF(LoanIsGood,IF(ROW()-ROW(PaymentSchedule[[#Headers],[PMT NO]])&gt;ScheduledNumberOfPayments,"",ROW()-ROW(PaymentSchedule[[#Headers],[PMT NO]])),"")</f>
        <v>112</v>
      </c>
      <c r="C138" s="5">
        <f>IF(PaymentSchedule[[#This Row],[PMT NO]]&lt;&gt;"",EOMONTH(LoanStartDate,ROW(PaymentSchedule[[#This Row],[PMT NO]])-ROW(PaymentSchedule[[#Headers],[PMT NO]])-2)+DAY(LoanStartDate),"")</f>
        <v>49430</v>
      </c>
      <c r="D138" s="6">
        <f>IF(PaymentSchedule[[#This Row],[PMT NO]]&lt;&gt;"",IF(ROW()-ROW(PaymentSchedule[[#Headers],[BEGINNING BALANCE]])=1,LoanAmount,INDEX(PaymentSchedule[ENDING BALANCE],ROW()-ROW(PaymentSchedule[[#Headers],[BEGINNING BALANCE]])-1)),"")</f>
        <v>119386.1279857232</v>
      </c>
      <c r="E138" s="6">
        <f>IF(PaymentSchedule[[#This Row],[PMT NO]]&lt;&gt;"",ScheduledPayment,"")</f>
        <v>839.37073521385321</v>
      </c>
      <c r="F138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138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138" s="6">
        <f>IF(PaymentSchedule[[#This Row],[PMT NO]]&lt;&gt;"",PaymentSchedule[[#This Row],[TOTAL PAYMENT]]-PaymentSchedule[[#This Row],[INTEREST]],"")</f>
        <v>242.44009528523725</v>
      </c>
      <c r="I138" s="6">
        <f>IF(PaymentSchedule[[#This Row],[PMT NO]]&lt;&gt;"",PaymentSchedule[[#This Row],[BEGINNING BALANCE]]*(InterestRate/PaymentsPerYear),"")</f>
        <v>596.93063992861596</v>
      </c>
      <c r="J138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119143.68789043797</v>
      </c>
      <c r="K138" s="6">
        <f>IF(PaymentSchedule[[#This Row],[PMT NO]]&lt;&gt;"",SUM(INDEX(PaymentSchedule[INTEREST],1,1):PaymentSchedule[[#This Row],[INTEREST]]),"")</f>
        <v>73153.210234389611</v>
      </c>
    </row>
    <row r="139" spans="2:11" x14ac:dyDescent="0.2">
      <c r="B139" s="4">
        <f>IF(LoanIsGood,IF(ROW()-ROW(PaymentSchedule[[#Headers],[PMT NO]])&gt;ScheduledNumberOfPayments,"",ROW()-ROW(PaymentSchedule[[#Headers],[PMT NO]])),"")</f>
        <v>113</v>
      </c>
      <c r="C139" s="5">
        <f>IF(PaymentSchedule[[#This Row],[PMT NO]]&lt;&gt;"",EOMONTH(LoanStartDate,ROW(PaymentSchedule[[#This Row],[PMT NO]])-ROW(PaymentSchedule[[#Headers],[PMT NO]])-2)+DAY(LoanStartDate),"")</f>
        <v>49461</v>
      </c>
      <c r="D139" s="6">
        <f>IF(PaymentSchedule[[#This Row],[PMT NO]]&lt;&gt;"",IF(ROW()-ROW(PaymentSchedule[[#Headers],[BEGINNING BALANCE]])=1,LoanAmount,INDEX(PaymentSchedule[ENDING BALANCE],ROW()-ROW(PaymentSchedule[[#Headers],[BEGINNING BALANCE]])-1)),"")</f>
        <v>119143.68789043797</v>
      </c>
      <c r="E139" s="6">
        <f>IF(PaymentSchedule[[#This Row],[PMT NO]]&lt;&gt;"",ScheduledPayment,"")</f>
        <v>839.37073521385321</v>
      </c>
      <c r="F139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139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139" s="6">
        <f>IF(PaymentSchedule[[#This Row],[PMT NO]]&lt;&gt;"",PaymentSchedule[[#This Row],[TOTAL PAYMENT]]-PaymentSchedule[[#This Row],[INTEREST]],"")</f>
        <v>243.65229576166337</v>
      </c>
      <c r="I139" s="6">
        <f>IF(PaymentSchedule[[#This Row],[PMT NO]]&lt;&gt;"",PaymentSchedule[[#This Row],[BEGINNING BALANCE]]*(InterestRate/PaymentsPerYear),"")</f>
        <v>595.71843945218984</v>
      </c>
      <c r="J139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118900.0355946763</v>
      </c>
      <c r="K139" s="6">
        <f>IF(PaymentSchedule[[#This Row],[PMT NO]]&lt;&gt;"",SUM(INDEX(PaymentSchedule[INTEREST],1,1):PaymentSchedule[[#This Row],[INTEREST]]),"")</f>
        <v>73748.928673841801</v>
      </c>
    </row>
    <row r="140" spans="2:11" x14ac:dyDescent="0.2">
      <c r="B140" s="4">
        <f>IF(LoanIsGood,IF(ROW()-ROW(PaymentSchedule[[#Headers],[PMT NO]])&gt;ScheduledNumberOfPayments,"",ROW()-ROW(PaymentSchedule[[#Headers],[PMT NO]])),"")</f>
        <v>114</v>
      </c>
      <c r="C140" s="5">
        <f>IF(PaymentSchedule[[#This Row],[PMT NO]]&lt;&gt;"",EOMONTH(LoanStartDate,ROW(PaymentSchedule[[#This Row],[PMT NO]])-ROW(PaymentSchedule[[#Headers],[PMT NO]])-2)+DAY(LoanStartDate),"")</f>
        <v>49491</v>
      </c>
      <c r="D140" s="6">
        <f>IF(PaymentSchedule[[#This Row],[PMT NO]]&lt;&gt;"",IF(ROW()-ROW(PaymentSchedule[[#Headers],[BEGINNING BALANCE]])=1,LoanAmount,INDEX(PaymentSchedule[ENDING BALANCE],ROW()-ROW(PaymentSchedule[[#Headers],[BEGINNING BALANCE]])-1)),"")</f>
        <v>118900.0355946763</v>
      </c>
      <c r="E140" s="6">
        <f>IF(PaymentSchedule[[#This Row],[PMT NO]]&lt;&gt;"",ScheduledPayment,"")</f>
        <v>839.37073521385321</v>
      </c>
      <c r="F140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140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140" s="6">
        <f>IF(PaymentSchedule[[#This Row],[PMT NO]]&lt;&gt;"",PaymentSchedule[[#This Row],[TOTAL PAYMENT]]-PaymentSchedule[[#This Row],[INTEREST]],"")</f>
        <v>244.87055724047173</v>
      </c>
      <c r="I140" s="6">
        <f>IF(PaymentSchedule[[#This Row],[PMT NO]]&lt;&gt;"",PaymentSchedule[[#This Row],[BEGINNING BALANCE]]*(InterestRate/PaymentsPerYear),"")</f>
        <v>594.50017797338148</v>
      </c>
      <c r="J140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118655.16503743583</v>
      </c>
      <c r="K140" s="6">
        <f>IF(PaymentSchedule[[#This Row],[PMT NO]]&lt;&gt;"",SUM(INDEX(PaymentSchedule[INTEREST],1,1):PaymentSchedule[[#This Row],[INTEREST]]),"")</f>
        <v>74343.428851815188</v>
      </c>
    </row>
    <row r="141" spans="2:11" x14ac:dyDescent="0.2">
      <c r="B141" s="4">
        <f>IF(LoanIsGood,IF(ROW()-ROW(PaymentSchedule[[#Headers],[PMT NO]])&gt;ScheduledNumberOfPayments,"",ROW()-ROW(PaymentSchedule[[#Headers],[PMT NO]])),"")</f>
        <v>115</v>
      </c>
      <c r="C141" s="5">
        <f>IF(PaymentSchedule[[#This Row],[PMT NO]]&lt;&gt;"",EOMONTH(LoanStartDate,ROW(PaymentSchedule[[#This Row],[PMT NO]])-ROW(PaymentSchedule[[#Headers],[PMT NO]])-2)+DAY(LoanStartDate),"")</f>
        <v>49522</v>
      </c>
      <c r="D141" s="6">
        <f>IF(PaymentSchedule[[#This Row],[PMT NO]]&lt;&gt;"",IF(ROW()-ROW(PaymentSchedule[[#Headers],[BEGINNING BALANCE]])=1,LoanAmount,INDEX(PaymentSchedule[ENDING BALANCE],ROW()-ROW(PaymentSchedule[[#Headers],[BEGINNING BALANCE]])-1)),"")</f>
        <v>118655.16503743583</v>
      </c>
      <c r="E141" s="6">
        <f>IF(PaymentSchedule[[#This Row],[PMT NO]]&lt;&gt;"",ScheduledPayment,"")</f>
        <v>839.37073521385321</v>
      </c>
      <c r="F141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141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141" s="6">
        <f>IF(PaymentSchedule[[#This Row],[PMT NO]]&lt;&gt;"",PaymentSchedule[[#This Row],[TOTAL PAYMENT]]-PaymentSchedule[[#This Row],[INTEREST]],"")</f>
        <v>246.09491002667403</v>
      </c>
      <c r="I141" s="6">
        <f>IF(PaymentSchedule[[#This Row],[PMT NO]]&lt;&gt;"",PaymentSchedule[[#This Row],[BEGINNING BALANCE]]*(InterestRate/PaymentsPerYear),"")</f>
        <v>593.27582518717918</v>
      </c>
      <c r="J141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118409.07012740916</v>
      </c>
      <c r="K141" s="6">
        <f>IF(PaymentSchedule[[#This Row],[PMT NO]]&lt;&gt;"",SUM(INDEX(PaymentSchedule[INTEREST],1,1):PaymentSchedule[[#This Row],[INTEREST]]),"")</f>
        <v>74936.704677002374</v>
      </c>
    </row>
    <row r="142" spans="2:11" x14ac:dyDescent="0.2">
      <c r="B142" s="4">
        <f>IF(LoanIsGood,IF(ROW()-ROW(PaymentSchedule[[#Headers],[PMT NO]])&gt;ScheduledNumberOfPayments,"",ROW()-ROW(PaymentSchedule[[#Headers],[PMT NO]])),"")</f>
        <v>116</v>
      </c>
      <c r="C142" s="5">
        <f>IF(PaymentSchedule[[#This Row],[PMT NO]]&lt;&gt;"",EOMONTH(LoanStartDate,ROW(PaymentSchedule[[#This Row],[PMT NO]])-ROW(PaymentSchedule[[#Headers],[PMT NO]])-2)+DAY(LoanStartDate),"")</f>
        <v>49553</v>
      </c>
      <c r="D142" s="6">
        <f>IF(PaymentSchedule[[#This Row],[PMT NO]]&lt;&gt;"",IF(ROW()-ROW(PaymentSchedule[[#Headers],[BEGINNING BALANCE]])=1,LoanAmount,INDEX(PaymentSchedule[ENDING BALANCE],ROW()-ROW(PaymentSchedule[[#Headers],[BEGINNING BALANCE]])-1)),"")</f>
        <v>118409.07012740916</v>
      </c>
      <c r="E142" s="6">
        <f>IF(PaymentSchedule[[#This Row],[PMT NO]]&lt;&gt;"",ScheduledPayment,"")</f>
        <v>839.37073521385321</v>
      </c>
      <c r="F142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142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142" s="6">
        <f>IF(PaymentSchedule[[#This Row],[PMT NO]]&lt;&gt;"",PaymentSchedule[[#This Row],[TOTAL PAYMENT]]-PaymentSchedule[[#This Row],[INTEREST]],"")</f>
        <v>247.32538457680744</v>
      </c>
      <c r="I142" s="6">
        <f>IF(PaymentSchedule[[#This Row],[PMT NO]]&lt;&gt;"",PaymentSchedule[[#This Row],[BEGINNING BALANCE]]*(InterestRate/PaymentsPerYear),"")</f>
        <v>592.04535063704577</v>
      </c>
      <c r="J142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118161.74474283235</v>
      </c>
      <c r="K142" s="6">
        <f>IF(PaymentSchedule[[#This Row],[PMT NO]]&lt;&gt;"",SUM(INDEX(PaymentSchedule[INTEREST],1,1):PaymentSchedule[[#This Row],[INTEREST]]),"")</f>
        <v>75528.750027639413</v>
      </c>
    </row>
    <row r="143" spans="2:11" x14ac:dyDescent="0.2">
      <c r="B143" s="4">
        <f>IF(LoanIsGood,IF(ROW()-ROW(PaymentSchedule[[#Headers],[PMT NO]])&gt;ScheduledNumberOfPayments,"",ROW()-ROW(PaymentSchedule[[#Headers],[PMT NO]])),"")</f>
        <v>117</v>
      </c>
      <c r="C143" s="5">
        <f>IF(PaymentSchedule[[#This Row],[PMT NO]]&lt;&gt;"",EOMONTH(LoanStartDate,ROW(PaymentSchedule[[#This Row],[PMT NO]])-ROW(PaymentSchedule[[#Headers],[PMT NO]])-2)+DAY(LoanStartDate),"")</f>
        <v>49583</v>
      </c>
      <c r="D143" s="6">
        <f>IF(PaymentSchedule[[#This Row],[PMT NO]]&lt;&gt;"",IF(ROW()-ROW(PaymentSchedule[[#Headers],[BEGINNING BALANCE]])=1,LoanAmount,INDEX(PaymentSchedule[ENDING BALANCE],ROW()-ROW(PaymentSchedule[[#Headers],[BEGINNING BALANCE]])-1)),"")</f>
        <v>118161.74474283235</v>
      </c>
      <c r="E143" s="6">
        <f>IF(PaymentSchedule[[#This Row],[PMT NO]]&lt;&gt;"",ScheduledPayment,"")</f>
        <v>839.37073521385321</v>
      </c>
      <c r="F143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143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143" s="6">
        <f>IF(PaymentSchedule[[#This Row],[PMT NO]]&lt;&gt;"",PaymentSchedule[[#This Row],[TOTAL PAYMENT]]-PaymentSchedule[[#This Row],[INTEREST]],"")</f>
        <v>248.56201149969149</v>
      </c>
      <c r="I143" s="6">
        <f>IF(PaymentSchedule[[#This Row],[PMT NO]]&lt;&gt;"",PaymentSchedule[[#This Row],[BEGINNING BALANCE]]*(InterestRate/PaymentsPerYear),"")</f>
        <v>590.80872371416172</v>
      </c>
      <c r="J143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117913.18273133266</v>
      </c>
      <c r="K143" s="6">
        <f>IF(PaymentSchedule[[#This Row],[PMT NO]]&lt;&gt;"",SUM(INDEX(PaymentSchedule[INTEREST],1,1):PaymentSchedule[[#This Row],[INTEREST]]),"")</f>
        <v>76119.558751353572</v>
      </c>
    </row>
    <row r="144" spans="2:11" x14ac:dyDescent="0.2">
      <c r="B144" s="4">
        <f>IF(LoanIsGood,IF(ROW()-ROW(PaymentSchedule[[#Headers],[PMT NO]])&gt;ScheduledNumberOfPayments,"",ROW()-ROW(PaymentSchedule[[#Headers],[PMT NO]])),"")</f>
        <v>118</v>
      </c>
      <c r="C144" s="5">
        <f>IF(PaymentSchedule[[#This Row],[PMT NO]]&lt;&gt;"",EOMONTH(LoanStartDate,ROW(PaymentSchedule[[#This Row],[PMT NO]])-ROW(PaymentSchedule[[#Headers],[PMT NO]])-2)+DAY(LoanStartDate),"")</f>
        <v>49614</v>
      </c>
      <c r="D144" s="6">
        <f>IF(PaymentSchedule[[#This Row],[PMT NO]]&lt;&gt;"",IF(ROW()-ROW(PaymentSchedule[[#Headers],[BEGINNING BALANCE]])=1,LoanAmount,INDEX(PaymentSchedule[ENDING BALANCE],ROW()-ROW(PaymentSchedule[[#Headers],[BEGINNING BALANCE]])-1)),"")</f>
        <v>117913.18273133266</v>
      </c>
      <c r="E144" s="6">
        <f>IF(PaymentSchedule[[#This Row],[PMT NO]]&lt;&gt;"",ScheduledPayment,"")</f>
        <v>839.37073521385321</v>
      </c>
      <c r="F144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144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144" s="6">
        <f>IF(PaymentSchedule[[#This Row],[PMT NO]]&lt;&gt;"",PaymentSchedule[[#This Row],[TOTAL PAYMENT]]-PaymentSchedule[[#This Row],[INTEREST]],"")</f>
        <v>249.80482155718983</v>
      </c>
      <c r="I144" s="6">
        <f>IF(PaymentSchedule[[#This Row],[PMT NO]]&lt;&gt;"",PaymentSchedule[[#This Row],[BEGINNING BALANCE]]*(InterestRate/PaymentsPerYear),"")</f>
        <v>589.56591365666338</v>
      </c>
      <c r="J144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117663.37790977547</v>
      </c>
      <c r="K144" s="6">
        <f>IF(PaymentSchedule[[#This Row],[PMT NO]]&lt;&gt;"",SUM(INDEX(PaymentSchedule[INTEREST],1,1):PaymentSchedule[[#This Row],[INTEREST]]),"")</f>
        <v>76709.12466501024</v>
      </c>
    </row>
    <row r="145" spans="2:11" x14ac:dyDescent="0.2">
      <c r="B145" s="4">
        <f>IF(LoanIsGood,IF(ROW()-ROW(PaymentSchedule[[#Headers],[PMT NO]])&gt;ScheduledNumberOfPayments,"",ROW()-ROW(PaymentSchedule[[#Headers],[PMT NO]])),"")</f>
        <v>119</v>
      </c>
      <c r="C145" s="5">
        <f>IF(PaymentSchedule[[#This Row],[PMT NO]]&lt;&gt;"",EOMONTH(LoanStartDate,ROW(PaymentSchedule[[#This Row],[PMT NO]])-ROW(PaymentSchedule[[#Headers],[PMT NO]])-2)+DAY(LoanStartDate),"")</f>
        <v>49644</v>
      </c>
      <c r="D145" s="6">
        <f>IF(PaymentSchedule[[#This Row],[PMT NO]]&lt;&gt;"",IF(ROW()-ROW(PaymentSchedule[[#Headers],[BEGINNING BALANCE]])=1,LoanAmount,INDEX(PaymentSchedule[ENDING BALANCE],ROW()-ROW(PaymentSchedule[[#Headers],[BEGINNING BALANCE]])-1)),"")</f>
        <v>117663.37790977547</v>
      </c>
      <c r="E145" s="6">
        <f>IF(PaymentSchedule[[#This Row],[PMT NO]]&lt;&gt;"",ScheduledPayment,"")</f>
        <v>839.37073521385321</v>
      </c>
      <c r="F145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145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145" s="6">
        <f>IF(PaymentSchedule[[#This Row],[PMT NO]]&lt;&gt;"",PaymentSchedule[[#This Row],[TOTAL PAYMENT]]-PaymentSchedule[[#This Row],[INTEREST]],"")</f>
        <v>251.05384566497582</v>
      </c>
      <c r="I145" s="6">
        <f>IF(PaymentSchedule[[#This Row],[PMT NO]]&lt;&gt;"",PaymentSchedule[[#This Row],[BEGINNING BALANCE]]*(InterestRate/PaymentsPerYear),"")</f>
        <v>588.31688954887738</v>
      </c>
      <c r="J145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117412.32406411049</v>
      </c>
      <c r="K145" s="6">
        <f>IF(PaymentSchedule[[#This Row],[PMT NO]]&lt;&gt;"",SUM(INDEX(PaymentSchedule[INTEREST],1,1):PaymentSchedule[[#This Row],[INTEREST]]),"")</f>
        <v>77297.441554559118</v>
      </c>
    </row>
    <row r="146" spans="2:11" x14ac:dyDescent="0.2">
      <c r="B146" s="4">
        <f>IF(LoanIsGood,IF(ROW()-ROW(PaymentSchedule[[#Headers],[PMT NO]])&gt;ScheduledNumberOfPayments,"",ROW()-ROW(PaymentSchedule[[#Headers],[PMT NO]])),"")</f>
        <v>120</v>
      </c>
      <c r="C146" s="5">
        <f>IF(PaymentSchedule[[#This Row],[PMT NO]]&lt;&gt;"",EOMONTH(LoanStartDate,ROW(PaymentSchedule[[#This Row],[PMT NO]])-ROW(PaymentSchedule[[#Headers],[PMT NO]])-2)+DAY(LoanStartDate),"")</f>
        <v>49675</v>
      </c>
      <c r="D146" s="6">
        <f>IF(PaymentSchedule[[#This Row],[PMT NO]]&lt;&gt;"",IF(ROW()-ROW(PaymentSchedule[[#Headers],[BEGINNING BALANCE]])=1,LoanAmount,INDEX(PaymentSchedule[ENDING BALANCE],ROW()-ROW(PaymentSchedule[[#Headers],[BEGINNING BALANCE]])-1)),"")</f>
        <v>117412.32406411049</v>
      </c>
      <c r="E146" s="6">
        <f>IF(PaymentSchedule[[#This Row],[PMT NO]]&lt;&gt;"",ScheduledPayment,"")</f>
        <v>839.37073521385321</v>
      </c>
      <c r="F146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146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146" s="6">
        <f>IF(PaymentSchedule[[#This Row],[PMT NO]]&lt;&gt;"",PaymentSchedule[[#This Row],[TOTAL PAYMENT]]-PaymentSchedule[[#This Row],[INTEREST]],"")</f>
        <v>252.30911489330072</v>
      </c>
      <c r="I146" s="6">
        <f>IF(PaymentSchedule[[#This Row],[PMT NO]]&lt;&gt;"",PaymentSchedule[[#This Row],[BEGINNING BALANCE]]*(InterestRate/PaymentsPerYear),"")</f>
        <v>587.06162032055249</v>
      </c>
      <c r="J146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117160.01494921719</v>
      </c>
      <c r="K146" s="6">
        <f>IF(PaymentSchedule[[#This Row],[PMT NO]]&lt;&gt;"",SUM(INDEX(PaymentSchedule[INTEREST],1,1):PaymentSchedule[[#This Row],[INTEREST]]),"")</f>
        <v>77884.503174879675</v>
      </c>
    </row>
    <row r="147" spans="2:11" x14ac:dyDescent="0.2">
      <c r="B147" s="4">
        <f>IF(LoanIsGood,IF(ROW()-ROW(PaymentSchedule[[#Headers],[PMT NO]])&gt;ScheduledNumberOfPayments,"",ROW()-ROW(PaymentSchedule[[#Headers],[PMT NO]])),"")</f>
        <v>121</v>
      </c>
      <c r="C147" s="5">
        <f>IF(PaymentSchedule[[#This Row],[PMT NO]]&lt;&gt;"",EOMONTH(LoanStartDate,ROW(PaymentSchedule[[#This Row],[PMT NO]])-ROW(PaymentSchedule[[#Headers],[PMT NO]])-2)+DAY(LoanStartDate),"")</f>
        <v>49706</v>
      </c>
      <c r="D147" s="6">
        <f>IF(PaymentSchedule[[#This Row],[PMT NO]]&lt;&gt;"",IF(ROW()-ROW(PaymentSchedule[[#Headers],[BEGINNING BALANCE]])=1,LoanAmount,INDEX(PaymentSchedule[ENDING BALANCE],ROW()-ROW(PaymentSchedule[[#Headers],[BEGINNING BALANCE]])-1)),"")</f>
        <v>117160.01494921719</v>
      </c>
      <c r="E147" s="6">
        <f>IF(PaymentSchedule[[#This Row],[PMT NO]]&lt;&gt;"",ScheduledPayment,"")</f>
        <v>839.37073521385321</v>
      </c>
      <c r="F147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147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147" s="6">
        <f>IF(PaymentSchedule[[#This Row],[PMT NO]]&lt;&gt;"",PaymentSchedule[[#This Row],[TOTAL PAYMENT]]-PaymentSchedule[[#This Row],[INTEREST]],"")</f>
        <v>253.5706604677672</v>
      </c>
      <c r="I147" s="6">
        <f>IF(PaymentSchedule[[#This Row],[PMT NO]]&lt;&gt;"",PaymentSchedule[[#This Row],[BEGINNING BALANCE]]*(InterestRate/PaymentsPerYear),"")</f>
        <v>585.80007474608601</v>
      </c>
      <c r="J147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116906.44428874942</v>
      </c>
      <c r="K147" s="6">
        <f>IF(PaymentSchedule[[#This Row],[PMT NO]]&lt;&gt;"",SUM(INDEX(PaymentSchedule[INTEREST],1,1):PaymentSchedule[[#This Row],[INTEREST]]),"")</f>
        <v>78470.303249625766</v>
      </c>
    </row>
    <row r="148" spans="2:11" x14ac:dyDescent="0.2">
      <c r="B148" s="4">
        <f>IF(LoanIsGood,IF(ROW()-ROW(PaymentSchedule[[#Headers],[PMT NO]])&gt;ScheduledNumberOfPayments,"",ROW()-ROW(PaymentSchedule[[#Headers],[PMT NO]])),"")</f>
        <v>122</v>
      </c>
      <c r="C148" s="5">
        <f>IF(PaymentSchedule[[#This Row],[PMT NO]]&lt;&gt;"",EOMONTH(LoanStartDate,ROW(PaymentSchedule[[#This Row],[PMT NO]])-ROW(PaymentSchedule[[#Headers],[PMT NO]])-2)+DAY(LoanStartDate),"")</f>
        <v>49735</v>
      </c>
      <c r="D148" s="6">
        <f>IF(PaymentSchedule[[#This Row],[PMT NO]]&lt;&gt;"",IF(ROW()-ROW(PaymentSchedule[[#Headers],[BEGINNING BALANCE]])=1,LoanAmount,INDEX(PaymentSchedule[ENDING BALANCE],ROW()-ROW(PaymentSchedule[[#Headers],[BEGINNING BALANCE]])-1)),"")</f>
        <v>116906.44428874942</v>
      </c>
      <c r="E148" s="6">
        <f>IF(PaymentSchedule[[#This Row],[PMT NO]]&lt;&gt;"",ScheduledPayment,"")</f>
        <v>839.37073521385321</v>
      </c>
      <c r="F148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148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148" s="6">
        <f>IF(PaymentSchedule[[#This Row],[PMT NO]]&lt;&gt;"",PaymentSchedule[[#This Row],[TOTAL PAYMENT]]-PaymentSchedule[[#This Row],[INTEREST]],"")</f>
        <v>254.83851377010603</v>
      </c>
      <c r="I148" s="6">
        <f>IF(PaymentSchedule[[#This Row],[PMT NO]]&lt;&gt;"",PaymentSchedule[[#This Row],[BEGINNING BALANCE]]*(InterestRate/PaymentsPerYear),"")</f>
        <v>584.53222144374718</v>
      </c>
      <c r="J148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116651.60577497931</v>
      </c>
      <c r="K148" s="6">
        <f>IF(PaymentSchedule[[#This Row],[PMT NO]]&lt;&gt;"",SUM(INDEX(PaymentSchedule[INTEREST],1,1):PaymentSchedule[[#This Row],[INTEREST]]),"")</f>
        <v>79054.835471069513</v>
      </c>
    </row>
    <row r="149" spans="2:11" x14ac:dyDescent="0.2">
      <c r="B149" s="4">
        <f>IF(LoanIsGood,IF(ROW()-ROW(PaymentSchedule[[#Headers],[PMT NO]])&gt;ScheduledNumberOfPayments,"",ROW()-ROW(PaymentSchedule[[#Headers],[PMT NO]])),"")</f>
        <v>123</v>
      </c>
      <c r="C149" s="5">
        <f>IF(PaymentSchedule[[#This Row],[PMT NO]]&lt;&gt;"",EOMONTH(LoanStartDate,ROW(PaymentSchedule[[#This Row],[PMT NO]])-ROW(PaymentSchedule[[#Headers],[PMT NO]])-2)+DAY(LoanStartDate),"")</f>
        <v>49766</v>
      </c>
      <c r="D149" s="6">
        <f>IF(PaymentSchedule[[#This Row],[PMT NO]]&lt;&gt;"",IF(ROW()-ROW(PaymentSchedule[[#Headers],[BEGINNING BALANCE]])=1,LoanAmount,INDEX(PaymentSchedule[ENDING BALANCE],ROW()-ROW(PaymentSchedule[[#Headers],[BEGINNING BALANCE]])-1)),"")</f>
        <v>116651.60577497931</v>
      </c>
      <c r="E149" s="6">
        <f>IF(PaymentSchedule[[#This Row],[PMT NO]]&lt;&gt;"",ScheduledPayment,"")</f>
        <v>839.37073521385321</v>
      </c>
      <c r="F149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149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149" s="6">
        <f>IF(PaymentSchedule[[#This Row],[PMT NO]]&lt;&gt;"",PaymentSchedule[[#This Row],[TOTAL PAYMENT]]-PaymentSchedule[[#This Row],[INTEREST]],"")</f>
        <v>256.11270633895663</v>
      </c>
      <c r="I149" s="6">
        <f>IF(PaymentSchedule[[#This Row],[PMT NO]]&lt;&gt;"",PaymentSchedule[[#This Row],[BEGINNING BALANCE]]*(InterestRate/PaymentsPerYear),"")</f>
        <v>583.25802887489658</v>
      </c>
      <c r="J149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116395.49306864035</v>
      </c>
      <c r="K149" s="6">
        <f>IF(PaymentSchedule[[#This Row],[PMT NO]]&lt;&gt;"",SUM(INDEX(PaymentSchedule[INTEREST],1,1):PaymentSchedule[[#This Row],[INTEREST]]),"")</f>
        <v>79638.093499944414</v>
      </c>
    </row>
    <row r="150" spans="2:11" x14ac:dyDescent="0.2">
      <c r="B150" s="4">
        <f>IF(LoanIsGood,IF(ROW()-ROW(PaymentSchedule[[#Headers],[PMT NO]])&gt;ScheduledNumberOfPayments,"",ROW()-ROW(PaymentSchedule[[#Headers],[PMT NO]])),"")</f>
        <v>124</v>
      </c>
      <c r="C150" s="5">
        <f>IF(PaymentSchedule[[#This Row],[PMT NO]]&lt;&gt;"",EOMONTH(LoanStartDate,ROW(PaymentSchedule[[#This Row],[PMT NO]])-ROW(PaymentSchedule[[#Headers],[PMT NO]])-2)+DAY(LoanStartDate),"")</f>
        <v>49796</v>
      </c>
      <c r="D150" s="6">
        <f>IF(PaymentSchedule[[#This Row],[PMT NO]]&lt;&gt;"",IF(ROW()-ROW(PaymentSchedule[[#Headers],[BEGINNING BALANCE]])=1,LoanAmount,INDEX(PaymentSchedule[ENDING BALANCE],ROW()-ROW(PaymentSchedule[[#Headers],[BEGINNING BALANCE]])-1)),"")</f>
        <v>116395.49306864035</v>
      </c>
      <c r="E150" s="6">
        <f>IF(PaymentSchedule[[#This Row],[PMT NO]]&lt;&gt;"",ScheduledPayment,"")</f>
        <v>839.37073521385321</v>
      </c>
      <c r="F150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150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150" s="6">
        <f>IF(PaymentSchedule[[#This Row],[PMT NO]]&lt;&gt;"",PaymentSchedule[[#This Row],[TOTAL PAYMENT]]-PaymentSchedule[[#This Row],[INTEREST]],"")</f>
        <v>257.39326987065147</v>
      </c>
      <c r="I150" s="6">
        <f>IF(PaymentSchedule[[#This Row],[PMT NO]]&lt;&gt;"",PaymentSchedule[[#This Row],[BEGINNING BALANCE]]*(InterestRate/PaymentsPerYear),"")</f>
        <v>581.97746534320174</v>
      </c>
      <c r="J150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116138.0997987697</v>
      </c>
      <c r="K150" s="6">
        <f>IF(PaymentSchedule[[#This Row],[PMT NO]]&lt;&gt;"",SUM(INDEX(PaymentSchedule[INTEREST],1,1):PaymentSchedule[[#This Row],[INTEREST]]),"")</f>
        <v>80220.07096528761</v>
      </c>
    </row>
    <row r="151" spans="2:11" x14ac:dyDescent="0.2">
      <c r="B151" s="4">
        <f>IF(LoanIsGood,IF(ROW()-ROW(PaymentSchedule[[#Headers],[PMT NO]])&gt;ScheduledNumberOfPayments,"",ROW()-ROW(PaymentSchedule[[#Headers],[PMT NO]])),"")</f>
        <v>125</v>
      </c>
      <c r="C151" s="5">
        <f>IF(PaymentSchedule[[#This Row],[PMT NO]]&lt;&gt;"",EOMONTH(LoanStartDate,ROW(PaymentSchedule[[#This Row],[PMT NO]])-ROW(PaymentSchedule[[#Headers],[PMT NO]])-2)+DAY(LoanStartDate),"")</f>
        <v>49827</v>
      </c>
      <c r="D151" s="6">
        <f>IF(PaymentSchedule[[#This Row],[PMT NO]]&lt;&gt;"",IF(ROW()-ROW(PaymentSchedule[[#Headers],[BEGINNING BALANCE]])=1,LoanAmount,INDEX(PaymentSchedule[ENDING BALANCE],ROW()-ROW(PaymentSchedule[[#Headers],[BEGINNING BALANCE]])-1)),"")</f>
        <v>116138.0997987697</v>
      </c>
      <c r="E151" s="6">
        <f>IF(PaymentSchedule[[#This Row],[PMT NO]]&lt;&gt;"",ScheduledPayment,"")</f>
        <v>839.37073521385321</v>
      </c>
      <c r="F151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151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151" s="6">
        <f>IF(PaymentSchedule[[#This Row],[PMT NO]]&lt;&gt;"",PaymentSchedule[[#This Row],[TOTAL PAYMENT]]-PaymentSchedule[[#This Row],[INTEREST]],"")</f>
        <v>258.68023622000464</v>
      </c>
      <c r="I151" s="6">
        <f>IF(PaymentSchedule[[#This Row],[PMT NO]]&lt;&gt;"",PaymentSchedule[[#This Row],[BEGINNING BALANCE]]*(InterestRate/PaymentsPerYear),"")</f>
        <v>580.69049899384856</v>
      </c>
      <c r="J151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115879.41956254969</v>
      </c>
      <c r="K151" s="6">
        <f>IF(PaymentSchedule[[#This Row],[PMT NO]]&lt;&gt;"",SUM(INDEX(PaymentSchedule[INTEREST],1,1):PaymentSchedule[[#This Row],[INTEREST]]),"")</f>
        <v>80800.761464281459</v>
      </c>
    </row>
    <row r="152" spans="2:11" x14ac:dyDescent="0.2">
      <c r="B152" s="4">
        <f>IF(LoanIsGood,IF(ROW()-ROW(PaymentSchedule[[#Headers],[PMT NO]])&gt;ScheduledNumberOfPayments,"",ROW()-ROW(PaymentSchedule[[#Headers],[PMT NO]])),"")</f>
        <v>126</v>
      </c>
      <c r="C152" s="5">
        <f>IF(PaymentSchedule[[#This Row],[PMT NO]]&lt;&gt;"",EOMONTH(LoanStartDate,ROW(PaymentSchedule[[#This Row],[PMT NO]])-ROW(PaymentSchedule[[#Headers],[PMT NO]])-2)+DAY(LoanStartDate),"")</f>
        <v>49857</v>
      </c>
      <c r="D152" s="6">
        <f>IF(PaymentSchedule[[#This Row],[PMT NO]]&lt;&gt;"",IF(ROW()-ROW(PaymentSchedule[[#Headers],[BEGINNING BALANCE]])=1,LoanAmount,INDEX(PaymentSchedule[ENDING BALANCE],ROW()-ROW(PaymentSchedule[[#Headers],[BEGINNING BALANCE]])-1)),"")</f>
        <v>115879.41956254969</v>
      </c>
      <c r="E152" s="6">
        <f>IF(PaymentSchedule[[#This Row],[PMT NO]]&lt;&gt;"",ScheduledPayment,"")</f>
        <v>839.37073521385321</v>
      </c>
      <c r="F152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152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152" s="6">
        <f>IF(PaymentSchedule[[#This Row],[PMT NO]]&lt;&gt;"",PaymentSchedule[[#This Row],[TOTAL PAYMENT]]-PaymentSchedule[[#This Row],[INTEREST]],"")</f>
        <v>259.97363740110472</v>
      </c>
      <c r="I152" s="6">
        <f>IF(PaymentSchedule[[#This Row],[PMT NO]]&lt;&gt;"",PaymentSchedule[[#This Row],[BEGINNING BALANCE]]*(InterestRate/PaymentsPerYear),"")</f>
        <v>579.39709781274848</v>
      </c>
      <c r="J152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115619.44592514858</v>
      </c>
      <c r="K152" s="6">
        <f>IF(PaymentSchedule[[#This Row],[PMT NO]]&lt;&gt;"",SUM(INDEX(PaymentSchedule[INTEREST],1,1):PaymentSchedule[[#This Row],[INTEREST]]),"")</f>
        <v>81380.158562094206</v>
      </c>
    </row>
    <row r="153" spans="2:11" x14ac:dyDescent="0.2">
      <c r="B153" s="4">
        <f>IF(LoanIsGood,IF(ROW()-ROW(PaymentSchedule[[#Headers],[PMT NO]])&gt;ScheduledNumberOfPayments,"",ROW()-ROW(PaymentSchedule[[#Headers],[PMT NO]])),"")</f>
        <v>127</v>
      </c>
      <c r="C153" s="5">
        <f>IF(PaymentSchedule[[#This Row],[PMT NO]]&lt;&gt;"",EOMONTH(LoanStartDate,ROW(PaymentSchedule[[#This Row],[PMT NO]])-ROW(PaymentSchedule[[#Headers],[PMT NO]])-2)+DAY(LoanStartDate),"")</f>
        <v>49888</v>
      </c>
      <c r="D153" s="6">
        <f>IF(PaymentSchedule[[#This Row],[PMT NO]]&lt;&gt;"",IF(ROW()-ROW(PaymentSchedule[[#Headers],[BEGINNING BALANCE]])=1,LoanAmount,INDEX(PaymentSchedule[ENDING BALANCE],ROW()-ROW(PaymentSchedule[[#Headers],[BEGINNING BALANCE]])-1)),"")</f>
        <v>115619.44592514858</v>
      </c>
      <c r="E153" s="6">
        <f>IF(PaymentSchedule[[#This Row],[PMT NO]]&lt;&gt;"",ScheduledPayment,"")</f>
        <v>839.37073521385321</v>
      </c>
      <c r="F153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153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153" s="6">
        <f>IF(PaymentSchedule[[#This Row],[PMT NO]]&lt;&gt;"",PaymentSchedule[[#This Row],[TOTAL PAYMENT]]-PaymentSchedule[[#This Row],[INTEREST]],"")</f>
        <v>261.27350558811031</v>
      </c>
      <c r="I153" s="6">
        <f>IF(PaymentSchedule[[#This Row],[PMT NO]]&lt;&gt;"",PaymentSchedule[[#This Row],[BEGINNING BALANCE]]*(InterestRate/PaymentsPerYear),"")</f>
        <v>578.0972296257429</v>
      </c>
      <c r="J153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115358.17241956048</v>
      </c>
      <c r="K153" s="6">
        <f>IF(PaymentSchedule[[#This Row],[PMT NO]]&lt;&gt;"",SUM(INDEX(PaymentSchedule[INTEREST],1,1):PaymentSchedule[[#This Row],[INTEREST]]),"")</f>
        <v>81958.255791719945</v>
      </c>
    </row>
    <row r="154" spans="2:11" x14ac:dyDescent="0.2">
      <c r="B154" s="4">
        <f>IF(LoanIsGood,IF(ROW()-ROW(PaymentSchedule[[#Headers],[PMT NO]])&gt;ScheduledNumberOfPayments,"",ROW()-ROW(PaymentSchedule[[#Headers],[PMT NO]])),"")</f>
        <v>128</v>
      </c>
      <c r="C154" s="5">
        <f>IF(PaymentSchedule[[#This Row],[PMT NO]]&lt;&gt;"",EOMONTH(LoanStartDate,ROW(PaymentSchedule[[#This Row],[PMT NO]])-ROW(PaymentSchedule[[#Headers],[PMT NO]])-2)+DAY(LoanStartDate),"")</f>
        <v>49919</v>
      </c>
      <c r="D154" s="6">
        <f>IF(PaymentSchedule[[#This Row],[PMT NO]]&lt;&gt;"",IF(ROW()-ROW(PaymentSchedule[[#Headers],[BEGINNING BALANCE]])=1,LoanAmount,INDEX(PaymentSchedule[ENDING BALANCE],ROW()-ROW(PaymentSchedule[[#Headers],[BEGINNING BALANCE]])-1)),"")</f>
        <v>115358.17241956048</v>
      </c>
      <c r="E154" s="6">
        <f>IF(PaymentSchedule[[#This Row],[PMT NO]]&lt;&gt;"",ScheduledPayment,"")</f>
        <v>839.37073521385321</v>
      </c>
      <c r="F154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154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154" s="6">
        <f>IF(PaymentSchedule[[#This Row],[PMT NO]]&lt;&gt;"",PaymentSchedule[[#This Row],[TOTAL PAYMENT]]-PaymentSchedule[[#This Row],[INTEREST]],"")</f>
        <v>262.57987311605086</v>
      </c>
      <c r="I154" s="6">
        <f>IF(PaymentSchedule[[#This Row],[PMT NO]]&lt;&gt;"",PaymentSchedule[[#This Row],[BEGINNING BALANCE]]*(InterestRate/PaymentsPerYear),"")</f>
        <v>576.79086209780235</v>
      </c>
      <c r="J154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115095.59254644443</v>
      </c>
      <c r="K154" s="6">
        <f>IF(PaymentSchedule[[#This Row],[PMT NO]]&lt;&gt;"",SUM(INDEX(PaymentSchedule[INTEREST],1,1):PaymentSchedule[[#This Row],[INTEREST]]),"")</f>
        <v>82535.046653817742</v>
      </c>
    </row>
    <row r="155" spans="2:11" x14ac:dyDescent="0.2">
      <c r="B155" s="4">
        <f>IF(LoanIsGood,IF(ROW()-ROW(PaymentSchedule[[#Headers],[PMT NO]])&gt;ScheduledNumberOfPayments,"",ROW()-ROW(PaymentSchedule[[#Headers],[PMT NO]])),"")</f>
        <v>129</v>
      </c>
      <c r="C155" s="5">
        <f>IF(PaymentSchedule[[#This Row],[PMT NO]]&lt;&gt;"",EOMONTH(LoanStartDate,ROW(PaymentSchedule[[#This Row],[PMT NO]])-ROW(PaymentSchedule[[#Headers],[PMT NO]])-2)+DAY(LoanStartDate),"")</f>
        <v>49949</v>
      </c>
      <c r="D155" s="6">
        <f>IF(PaymentSchedule[[#This Row],[PMT NO]]&lt;&gt;"",IF(ROW()-ROW(PaymentSchedule[[#Headers],[BEGINNING BALANCE]])=1,LoanAmount,INDEX(PaymentSchedule[ENDING BALANCE],ROW()-ROW(PaymentSchedule[[#Headers],[BEGINNING BALANCE]])-1)),"")</f>
        <v>115095.59254644443</v>
      </c>
      <c r="E155" s="6">
        <f>IF(PaymentSchedule[[#This Row],[PMT NO]]&lt;&gt;"",ScheduledPayment,"")</f>
        <v>839.37073521385321</v>
      </c>
      <c r="F155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155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155" s="6">
        <f>IF(PaymentSchedule[[#This Row],[PMT NO]]&lt;&gt;"",PaymentSchedule[[#This Row],[TOTAL PAYMENT]]-PaymentSchedule[[#This Row],[INTEREST]],"")</f>
        <v>263.89277248163103</v>
      </c>
      <c r="I155" s="6">
        <f>IF(PaymentSchedule[[#This Row],[PMT NO]]&lt;&gt;"",PaymentSchedule[[#This Row],[BEGINNING BALANCE]]*(InterestRate/PaymentsPerYear),"")</f>
        <v>575.47796273222218</v>
      </c>
      <c r="J155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114831.6997739628</v>
      </c>
      <c r="K155" s="6">
        <f>IF(PaymentSchedule[[#This Row],[PMT NO]]&lt;&gt;"",SUM(INDEX(PaymentSchedule[INTEREST],1,1):PaymentSchedule[[#This Row],[INTEREST]]),"")</f>
        <v>83110.52461654997</v>
      </c>
    </row>
    <row r="156" spans="2:11" x14ac:dyDescent="0.2">
      <c r="B156" s="4">
        <f>IF(LoanIsGood,IF(ROW()-ROW(PaymentSchedule[[#Headers],[PMT NO]])&gt;ScheduledNumberOfPayments,"",ROW()-ROW(PaymentSchedule[[#Headers],[PMT NO]])),"")</f>
        <v>130</v>
      </c>
      <c r="C156" s="5">
        <f>IF(PaymentSchedule[[#This Row],[PMT NO]]&lt;&gt;"",EOMONTH(LoanStartDate,ROW(PaymentSchedule[[#This Row],[PMT NO]])-ROW(PaymentSchedule[[#Headers],[PMT NO]])-2)+DAY(LoanStartDate),"")</f>
        <v>49980</v>
      </c>
      <c r="D156" s="6">
        <f>IF(PaymentSchedule[[#This Row],[PMT NO]]&lt;&gt;"",IF(ROW()-ROW(PaymentSchedule[[#Headers],[BEGINNING BALANCE]])=1,LoanAmount,INDEX(PaymentSchedule[ENDING BALANCE],ROW()-ROW(PaymentSchedule[[#Headers],[BEGINNING BALANCE]])-1)),"")</f>
        <v>114831.6997739628</v>
      </c>
      <c r="E156" s="6">
        <f>IF(PaymentSchedule[[#This Row],[PMT NO]]&lt;&gt;"",ScheduledPayment,"")</f>
        <v>839.37073521385321</v>
      </c>
      <c r="F156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156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156" s="6">
        <f>IF(PaymentSchedule[[#This Row],[PMT NO]]&lt;&gt;"",PaymentSchedule[[#This Row],[TOTAL PAYMENT]]-PaymentSchedule[[#This Row],[INTEREST]],"")</f>
        <v>265.21223634403918</v>
      </c>
      <c r="I156" s="6">
        <f>IF(PaymentSchedule[[#This Row],[PMT NO]]&lt;&gt;"",PaymentSchedule[[#This Row],[BEGINNING BALANCE]]*(InterestRate/PaymentsPerYear),"")</f>
        <v>574.15849886981403</v>
      </c>
      <c r="J156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114566.48753761876</v>
      </c>
      <c r="K156" s="6">
        <f>IF(PaymentSchedule[[#This Row],[PMT NO]]&lt;&gt;"",SUM(INDEX(PaymentSchedule[INTEREST],1,1):PaymentSchedule[[#This Row],[INTEREST]]),"")</f>
        <v>83684.683115419786</v>
      </c>
    </row>
    <row r="157" spans="2:11" x14ac:dyDescent="0.2">
      <c r="B157" s="4">
        <f>IF(LoanIsGood,IF(ROW()-ROW(PaymentSchedule[[#Headers],[PMT NO]])&gt;ScheduledNumberOfPayments,"",ROW()-ROW(PaymentSchedule[[#Headers],[PMT NO]])),"")</f>
        <v>131</v>
      </c>
      <c r="C157" s="5">
        <f>IF(PaymentSchedule[[#This Row],[PMT NO]]&lt;&gt;"",EOMONTH(LoanStartDate,ROW(PaymentSchedule[[#This Row],[PMT NO]])-ROW(PaymentSchedule[[#Headers],[PMT NO]])-2)+DAY(LoanStartDate),"")</f>
        <v>50010</v>
      </c>
      <c r="D157" s="6">
        <f>IF(PaymentSchedule[[#This Row],[PMT NO]]&lt;&gt;"",IF(ROW()-ROW(PaymentSchedule[[#Headers],[BEGINNING BALANCE]])=1,LoanAmount,INDEX(PaymentSchedule[ENDING BALANCE],ROW()-ROW(PaymentSchedule[[#Headers],[BEGINNING BALANCE]])-1)),"")</f>
        <v>114566.48753761876</v>
      </c>
      <c r="E157" s="6">
        <f>IF(PaymentSchedule[[#This Row],[PMT NO]]&lt;&gt;"",ScheduledPayment,"")</f>
        <v>839.37073521385321</v>
      </c>
      <c r="F157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157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157" s="6">
        <f>IF(PaymentSchedule[[#This Row],[PMT NO]]&lt;&gt;"",PaymentSchedule[[#This Row],[TOTAL PAYMENT]]-PaymentSchedule[[#This Row],[INTEREST]],"")</f>
        <v>266.53829752575939</v>
      </c>
      <c r="I157" s="6">
        <f>IF(PaymentSchedule[[#This Row],[PMT NO]]&lt;&gt;"",PaymentSchedule[[#This Row],[BEGINNING BALANCE]]*(InterestRate/PaymentsPerYear),"")</f>
        <v>572.83243768809382</v>
      </c>
      <c r="J157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114299.949240093</v>
      </c>
      <c r="K157" s="6">
        <f>IF(PaymentSchedule[[#This Row],[PMT NO]]&lt;&gt;"",SUM(INDEX(PaymentSchedule[INTEREST],1,1):PaymentSchedule[[#This Row],[INTEREST]]),"")</f>
        <v>84257.515553107878</v>
      </c>
    </row>
    <row r="158" spans="2:11" x14ac:dyDescent="0.2">
      <c r="B158" s="4">
        <f>IF(LoanIsGood,IF(ROW()-ROW(PaymentSchedule[[#Headers],[PMT NO]])&gt;ScheduledNumberOfPayments,"",ROW()-ROW(PaymentSchedule[[#Headers],[PMT NO]])),"")</f>
        <v>132</v>
      </c>
      <c r="C158" s="5">
        <f>IF(PaymentSchedule[[#This Row],[PMT NO]]&lt;&gt;"",EOMONTH(LoanStartDate,ROW(PaymentSchedule[[#This Row],[PMT NO]])-ROW(PaymentSchedule[[#Headers],[PMT NO]])-2)+DAY(LoanStartDate),"")</f>
        <v>50041</v>
      </c>
      <c r="D158" s="6">
        <f>IF(PaymentSchedule[[#This Row],[PMT NO]]&lt;&gt;"",IF(ROW()-ROW(PaymentSchedule[[#Headers],[BEGINNING BALANCE]])=1,LoanAmount,INDEX(PaymentSchedule[ENDING BALANCE],ROW()-ROW(PaymentSchedule[[#Headers],[BEGINNING BALANCE]])-1)),"")</f>
        <v>114299.949240093</v>
      </c>
      <c r="E158" s="6">
        <f>IF(PaymentSchedule[[#This Row],[PMT NO]]&lt;&gt;"",ScheduledPayment,"")</f>
        <v>839.37073521385321</v>
      </c>
      <c r="F158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158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158" s="6">
        <f>IF(PaymentSchedule[[#This Row],[PMT NO]]&lt;&gt;"",PaymentSchedule[[#This Row],[TOTAL PAYMENT]]-PaymentSchedule[[#This Row],[INTEREST]],"")</f>
        <v>267.87098901338823</v>
      </c>
      <c r="I158" s="6">
        <f>IF(PaymentSchedule[[#This Row],[PMT NO]]&lt;&gt;"",PaymentSchedule[[#This Row],[BEGINNING BALANCE]]*(InterestRate/PaymentsPerYear),"")</f>
        <v>571.49974620046498</v>
      </c>
      <c r="J158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114032.07825107961</v>
      </c>
      <c r="K158" s="6">
        <f>IF(PaymentSchedule[[#This Row],[PMT NO]]&lt;&gt;"",SUM(INDEX(PaymentSchedule[INTEREST],1,1):PaymentSchedule[[#This Row],[INTEREST]]),"")</f>
        <v>84829.015299308347</v>
      </c>
    </row>
    <row r="159" spans="2:11" x14ac:dyDescent="0.2">
      <c r="B159" s="4">
        <f>IF(LoanIsGood,IF(ROW()-ROW(PaymentSchedule[[#Headers],[PMT NO]])&gt;ScheduledNumberOfPayments,"",ROW()-ROW(PaymentSchedule[[#Headers],[PMT NO]])),"")</f>
        <v>133</v>
      </c>
      <c r="C159" s="5">
        <f>IF(PaymentSchedule[[#This Row],[PMT NO]]&lt;&gt;"",EOMONTH(LoanStartDate,ROW(PaymentSchedule[[#This Row],[PMT NO]])-ROW(PaymentSchedule[[#Headers],[PMT NO]])-2)+DAY(LoanStartDate),"")</f>
        <v>50072</v>
      </c>
      <c r="D159" s="6">
        <f>IF(PaymentSchedule[[#This Row],[PMT NO]]&lt;&gt;"",IF(ROW()-ROW(PaymentSchedule[[#Headers],[BEGINNING BALANCE]])=1,LoanAmount,INDEX(PaymentSchedule[ENDING BALANCE],ROW()-ROW(PaymentSchedule[[#Headers],[BEGINNING BALANCE]])-1)),"")</f>
        <v>114032.07825107961</v>
      </c>
      <c r="E159" s="6">
        <f>IF(PaymentSchedule[[#This Row],[PMT NO]]&lt;&gt;"",ScheduledPayment,"")</f>
        <v>839.37073521385321</v>
      </c>
      <c r="F159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159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159" s="6">
        <f>IF(PaymentSchedule[[#This Row],[PMT NO]]&lt;&gt;"",PaymentSchedule[[#This Row],[TOTAL PAYMENT]]-PaymentSchedule[[#This Row],[INTEREST]],"")</f>
        <v>269.21034395845516</v>
      </c>
      <c r="I159" s="6">
        <f>IF(PaymentSchedule[[#This Row],[PMT NO]]&lt;&gt;"",PaymentSchedule[[#This Row],[BEGINNING BALANCE]]*(InterestRate/PaymentsPerYear),"")</f>
        <v>570.16039125539805</v>
      </c>
      <c r="J159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113762.86790712115</v>
      </c>
      <c r="K159" s="6">
        <f>IF(PaymentSchedule[[#This Row],[PMT NO]]&lt;&gt;"",SUM(INDEX(PaymentSchedule[INTEREST],1,1):PaymentSchedule[[#This Row],[INTEREST]]),"")</f>
        <v>85399.175690563745</v>
      </c>
    </row>
    <row r="160" spans="2:11" x14ac:dyDescent="0.2">
      <c r="B160" s="4">
        <f>IF(LoanIsGood,IF(ROW()-ROW(PaymentSchedule[[#Headers],[PMT NO]])&gt;ScheduledNumberOfPayments,"",ROW()-ROW(PaymentSchedule[[#Headers],[PMT NO]])),"")</f>
        <v>134</v>
      </c>
      <c r="C160" s="5">
        <f>IF(PaymentSchedule[[#This Row],[PMT NO]]&lt;&gt;"",EOMONTH(LoanStartDate,ROW(PaymentSchedule[[#This Row],[PMT NO]])-ROW(PaymentSchedule[[#Headers],[PMT NO]])-2)+DAY(LoanStartDate),"")</f>
        <v>50100</v>
      </c>
      <c r="D160" s="6">
        <f>IF(PaymentSchedule[[#This Row],[PMT NO]]&lt;&gt;"",IF(ROW()-ROW(PaymentSchedule[[#Headers],[BEGINNING BALANCE]])=1,LoanAmount,INDEX(PaymentSchedule[ENDING BALANCE],ROW()-ROW(PaymentSchedule[[#Headers],[BEGINNING BALANCE]])-1)),"")</f>
        <v>113762.86790712115</v>
      </c>
      <c r="E160" s="6">
        <f>IF(PaymentSchedule[[#This Row],[PMT NO]]&lt;&gt;"",ScheduledPayment,"")</f>
        <v>839.37073521385321</v>
      </c>
      <c r="F160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160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160" s="6">
        <f>IF(PaymentSchedule[[#This Row],[PMT NO]]&lt;&gt;"",PaymentSchedule[[#This Row],[TOTAL PAYMENT]]-PaymentSchedule[[#This Row],[INTEREST]],"")</f>
        <v>270.55639567824744</v>
      </c>
      <c r="I160" s="6">
        <f>IF(PaymentSchedule[[#This Row],[PMT NO]]&lt;&gt;"",PaymentSchedule[[#This Row],[BEGINNING BALANCE]]*(InterestRate/PaymentsPerYear),"")</f>
        <v>568.81433953560577</v>
      </c>
      <c r="J160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113492.31151144291</v>
      </c>
      <c r="K160" s="6">
        <f>IF(PaymentSchedule[[#This Row],[PMT NO]]&lt;&gt;"",SUM(INDEX(PaymentSchedule[INTEREST],1,1):PaymentSchedule[[#This Row],[INTEREST]]),"")</f>
        <v>85967.990030099347</v>
      </c>
    </row>
    <row r="161" spans="2:11" x14ac:dyDescent="0.2">
      <c r="B161" s="4">
        <f>IF(LoanIsGood,IF(ROW()-ROW(PaymentSchedule[[#Headers],[PMT NO]])&gt;ScheduledNumberOfPayments,"",ROW()-ROW(PaymentSchedule[[#Headers],[PMT NO]])),"")</f>
        <v>135</v>
      </c>
      <c r="C161" s="5">
        <f>IF(PaymentSchedule[[#This Row],[PMT NO]]&lt;&gt;"",EOMONTH(LoanStartDate,ROW(PaymentSchedule[[#This Row],[PMT NO]])-ROW(PaymentSchedule[[#Headers],[PMT NO]])-2)+DAY(LoanStartDate),"")</f>
        <v>50131</v>
      </c>
      <c r="D161" s="6">
        <f>IF(PaymentSchedule[[#This Row],[PMT NO]]&lt;&gt;"",IF(ROW()-ROW(PaymentSchedule[[#Headers],[BEGINNING BALANCE]])=1,LoanAmount,INDEX(PaymentSchedule[ENDING BALANCE],ROW()-ROW(PaymentSchedule[[#Headers],[BEGINNING BALANCE]])-1)),"")</f>
        <v>113492.31151144291</v>
      </c>
      <c r="E161" s="6">
        <f>IF(PaymentSchedule[[#This Row],[PMT NO]]&lt;&gt;"",ScheduledPayment,"")</f>
        <v>839.37073521385321</v>
      </c>
      <c r="F161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161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161" s="6">
        <f>IF(PaymentSchedule[[#This Row],[PMT NO]]&lt;&gt;"",PaymentSchedule[[#This Row],[TOTAL PAYMENT]]-PaymentSchedule[[#This Row],[INTEREST]],"")</f>
        <v>271.90917765663869</v>
      </c>
      <c r="I161" s="6">
        <f>IF(PaymentSchedule[[#This Row],[PMT NO]]&lt;&gt;"",PaymentSchedule[[#This Row],[BEGINNING BALANCE]]*(InterestRate/PaymentsPerYear),"")</f>
        <v>567.46155755721452</v>
      </c>
      <c r="J161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113220.40233378627</v>
      </c>
      <c r="K161" s="6">
        <f>IF(PaymentSchedule[[#This Row],[PMT NO]]&lt;&gt;"",SUM(INDEX(PaymentSchedule[INTEREST],1,1):PaymentSchedule[[#This Row],[INTEREST]]),"")</f>
        <v>86535.451587656557</v>
      </c>
    </row>
    <row r="162" spans="2:11" x14ac:dyDescent="0.2">
      <c r="B162" s="4">
        <f>IF(LoanIsGood,IF(ROW()-ROW(PaymentSchedule[[#Headers],[PMT NO]])&gt;ScheduledNumberOfPayments,"",ROW()-ROW(PaymentSchedule[[#Headers],[PMT NO]])),"")</f>
        <v>136</v>
      </c>
      <c r="C162" s="5">
        <f>IF(PaymentSchedule[[#This Row],[PMT NO]]&lt;&gt;"",EOMONTH(LoanStartDate,ROW(PaymentSchedule[[#This Row],[PMT NO]])-ROW(PaymentSchedule[[#Headers],[PMT NO]])-2)+DAY(LoanStartDate),"")</f>
        <v>50161</v>
      </c>
      <c r="D162" s="6">
        <f>IF(PaymentSchedule[[#This Row],[PMT NO]]&lt;&gt;"",IF(ROW()-ROW(PaymentSchedule[[#Headers],[BEGINNING BALANCE]])=1,LoanAmount,INDEX(PaymentSchedule[ENDING BALANCE],ROW()-ROW(PaymentSchedule[[#Headers],[BEGINNING BALANCE]])-1)),"")</f>
        <v>113220.40233378627</v>
      </c>
      <c r="E162" s="6">
        <f>IF(PaymentSchedule[[#This Row],[PMT NO]]&lt;&gt;"",ScheduledPayment,"")</f>
        <v>839.37073521385321</v>
      </c>
      <c r="F162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162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162" s="6">
        <f>IF(PaymentSchedule[[#This Row],[PMT NO]]&lt;&gt;"",PaymentSchedule[[#This Row],[TOTAL PAYMENT]]-PaymentSchedule[[#This Row],[INTEREST]],"")</f>
        <v>273.26872354492184</v>
      </c>
      <c r="I162" s="6">
        <f>IF(PaymentSchedule[[#This Row],[PMT NO]]&lt;&gt;"",PaymentSchedule[[#This Row],[BEGINNING BALANCE]]*(InterestRate/PaymentsPerYear),"")</f>
        <v>566.10201166893137</v>
      </c>
      <c r="J162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112947.13361024135</v>
      </c>
      <c r="K162" s="6">
        <f>IF(PaymentSchedule[[#This Row],[PMT NO]]&lt;&gt;"",SUM(INDEX(PaymentSchedule[INTEREST],1,1):PaymentSchedule[[#This Row],[INTEREST]]),"")</f>
        <v>87101.553599325489</v>
      </c>
    </row>
    <row r="163" spans="2:11" x14ac:dyDescent="0.2">
      <c r="B163" s="4">
        <f>IF(LoanIsGood,IF(ROW()-ROW(PaymentSchedule[[#Headers],[PMT NO]])&gt;ScheduledNumberOfPayments,"",ROW()-ROW(PaymentSchedule[[#Headers],[PMT NO]])),"")</f>
        <v>137</v>
      </c>
      <c r="C163" s="5">
        <f>IF(PaymentSchedule[[#This Row],[PMT NO]]&lt;&gt;"",EOMONTH(LoanStartDate,ROW(PaymentSchedule[[#This Row],[PMT NO]])-ROW(PaymentSchedule[[#Headers],[PMT NO]])-2)+DAY(LoanStartDate),"")</f>
        <v>50192</v>
      </c>
      <c r="D163" s="6">
        <f>IF(PaymentSchedule[[#This Row],[PMT NO]]&lt;&gt;"",IF(ROW()-ROW(PaymentSchedule[[#Headers],[BEGINNING BALANCE]])=1,LoanAmount,INDEX(PaymentSchedule[ENDING BALANCE],ROW()-ROW(PaymentSchedule[[#Headers],[BEGINNING BALANCE]])-1)),"")</f>
        <v>112947.13361024135</v>
      </c>
      <c r="E163" s="6">
        <f>IF(PaymentSchedule[[#This Row],[PMT NO]]&lt;&gt;"",ScheduledPayment,"")</f>
        <v>839.37073521385321</v>
      </c>
      <c r="F163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163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163" s="6">
        <f>IF(PaymentSchedule[[#This Row],[PMT NO]]&lt;&gt;"",PaymentSchedule[[#This Row],[TOTAL PAYMENT]]-PaymentSchedule[[#This Row],[INTEREST]],"")</f>
        <v>274.63506716264646</v>
      </c>
      <c r="I163" s="6">
        <f>IF(PaymentSchedule[[#This Row],[PMT NO]]&lt;&gt;"",PaymentSchedule[[#This Row],[BEGINNING BALANCE]]*(InterestRate/PaymentsPerYear),"")</f>
        <v>564.73566805120674</v>
      </c>
      <c r="J163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112672.49854307871</v>
      </c>
      <c r="K163" s="6">
        <f>IF(PaymentSchedule[[#This Row],[PMT NO]]&lt;&gt;"",SUM(INDEX(PaymentSchedule[INTEREST],1,1):PaymentSchedule[[#This Row],[INTEREST]]),"")</f>
        <v>87666.289267376691</v>
      </c>
    </row>
    <row r="164" spans="2:11" x14ac:dyDescent="0.2">
      <c r="B164" s="4">
        <f>IF(LoanIsGood,IF(ROW()-ROW(PaymentSchedule[[#Headers],[PMT NO]])&gt;ScheduledNumberOfPayments,"",ROW()-ROW(PaymentSchedule[[#Headers],[PMT NO]])),"")</f>
        <v>138</v>
      </c>
      <c r="C164" s="5">
        <f>IF(PaymentSchedule[[#This Row],[PMT NO]]&lt;&gt;"",EOMONTH(LoanStartDate,ROW(PaymentSchedule[[#This Row],[PMT NO]])-ROW(PaymentSchedule[[#Headers],[PMT NO]])-2)+DAY(LoanStartDate),"")</f>
        <v>50222</v>
      </c>
      <c r="D164" s="6">
        <f>IF(PaymentSchedule[[#This Row],[PMT NO]]&lt;&gt;"",IF(ROW()-ROW(PaymentSchedule[[#Headers],[BEGINNING BALANCE]])=1,LoanAmount,INDEX(PaymentSchedule[ENDING BALANCE],ROW()-ROW(PaymentSchedule[[#Headers],[BEGINNING BALANCE]])-1)),"")</f>
        <v>112672.49854307871</v>
      </c>
      <c r="E164" s="6">
        <f>IF(PaymentSchedule[[#This Row],[PMT NO]]&lt;&gt;"",ScheduledPayment,"")</f>
        <v>839.37073521385321</v>
      </c>
      <c r="F164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164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164" s="6">
        <f>IF(PaymentSchedule[[#This Row],[PMT NO]]&lt;&gt;"",PaymentSchedule[[#This Row],[TOTAL PAYMENT]]-PaymentSchedule[[#This Row],[INTEREST]],"")</f>
        <v>276.00824249845971</v>
      </c>
      <c r="I164" s="6">
        <f>IF(PaymentSchedule[[#This Row],[PMT NO]]&lt;&gt;"",PaymentSchedule[[#This Row],[BEGINNING BALANCE]]*(InterestRate/PaymentsPerYear),"")</f>
        <v>563.3624927153935</v>
      </c>
      <c r="J164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112396.49030058025</v>
      </c>
      <c r="K164" s="6">
        <f>IF(PaymentSchedule[[#This Row],[PMT NO]]&lt;&gt;"",SUM(INDEX(PaymentSchedule[INTEREST],1,1):PaymentSchedule[[#This Row],[INTEREST]]),"")</f>
        <v>88229.651760092078</v>
      </c>
    </row>
    <row r="165" spans="2:11" x14ac:dyDescent="0.2">
      <c r="B165" s="4">
        <f>IF(LoanIsGood,IF(ROW()-ROW(PaymentSchedule[[#Headers],[PMT NO]])&gt;ScheduledNumberOfPayments,"",ROW()-ROW(PaymentSchedule[[#Headers],[PMT NO]])),"")</f>
        <v>139</v>
      </c>
      <c r="C165" s="5">
        <f>IF(PaymentSchedule[[#This Row],[PMT NO]]&lt;&gt;"",EOMONTH(LoanStartDate,ROW(PaymentSchedule[[#This Row],[PMT NO]])-ROW(PaymentSchedule[[#Headers],[PMT NO]])-2)+DAY(LoanStartDate),"")</f>
        <v>50253</v>
      </c>
      <c r="D165" s="6">
        <f>IF(PaymentSchedule[[#This Row],[PMT NO]]&lt;&gt;"",IF(ROW()-ROW(PaymentSchedule[[#Headers],[BEGINNING BALANCE]])=1,LoanAmount,INDEX(PaymentSchedule[ENDING BALANCE],ROW()-ROW(PaymentSchedule[[#Headers],[BEGINNING BALANCE]])-1)),"")</f>
        <v>112396.49030058025</v>
      </c>
      <c r="E165" s="6">
        <f>IF(PaymentSchedule[[#This Row],[PMT NO]]&lt;&gt;"",ScheduledPayment,"")</f>
        <v>839.37073521385321</v>
      </c>
      <c r="F165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165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165" s="6">
        <f>IF(PaymentSchedule[[#This Row],[PMT NO]]&lt;&gt;"",PaymentSchedule[[#This Row],[TOTAL PAYMENT]]-PaymentSchedule[[#This Row],[INTEREST]],"")</f>
        <v>277.38828371095201</v>
      </c>
      <c r="I165" s="6">
        <f>IF(PaymentSchedule[[#This Row],[PMT NO]]&lt;&gt;"",PaymentSchedule[[#This Row],[BEGINNING BALANCE]]*(InterestRate/PaymentsPerYear),"")</f>
        <v>561.9824515029012</v>
      </c>
      <c r="J165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112119.10201686929</v>
      </c>
      <c r="K165" s="6">
        <f>IF(PaymentSchedule[[#This Row],[PMT NO]]&lt;&gt;"",SUM(INDEX(PaymentSchedule[INTEREST],1,1):PaymentSchedule[[#This Row],[INTEREST]]),"")</f>
        <v>88791.634211594981</v>
      </c>
    </row>
    <row r="166" spans="2:11" x14ac:dyDescent="0.2">
      <c r="B166" s="4">
        <f>IF(LoanIsGood,IF(ROW()-ROW(PaymentSchedule[[#Headers],[PMT NO]])&gt;ScheduledNumberOfPayments,"",ROW()-ROW(PaymentSchedule[[#Headers],[PMT NO]])),"")</f>
        <v>140</v>
      </c>
      <c r="C166" s="5">
        <f>IF(PaymentSchedule[[#This Row],[PMT NO]]&lt;&gt;"",EOMONTH(LoanStartDate,ROW(PaymentSchedule[[#This Row],[PMT NO]])-ROW(PaymentSchedule[[#Headers],[PMT NO]])-2)+DAY(LoanStartDate),"")</f>
        <v>50284</v>
      </c>
      <c r="D166" s="6">
        <f>IF(PaymentSchedule[[#This Row],[PMT NO]]&lt;&gt;"",IF(ROW()-ROW(PaymentSchedule[[#Headers],[BEGINNING BALANCE]])=1,LoanAmount,INDEX(PaymentSchedule[ENDING BALANCE],ROW()-ROW(PaymentSchedule[[#Headers],[BEGINNING BALANCE]])-1)),"")</f>
        <v>112119.10201686929</v>
      </c>
      <c r="E166" s="6">
        <f>IF(PaymentSchedule[[#This Row],[PMT NO]]&lt;&gt;"",ScheduledPayment,"")</f>
        <v>839.37073521385321</v>
      </c>
      <c r="F166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166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166" s="6">
        <f>IF(PaymentSchedule[[#This Row],[PMT NO]]&lt;&gt;"",PaymentSchedule[[#This Row],[TOTAL PAYMENT]]-PaymentSchedule[[#This Row],[INTEREST]],"")</f>
        <v>278.77522512950668</v>
      </c>
      <c r="I166" s="6">
        <f>IF(PaymentSchedule[[#This Row],[PMT NO]]&lt;&gt;"",PaymentSchedule[[#This Row],[BEGINNING BALANCE]]*(InterestRate/PaymentsPerYear),"")</f>
        <v>560.59551008434653</v>
      </c>
      <c r="J166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111840.32679173979</v>
      </c>
      <c r="K166" s="6">
        <f>IF(PaymentSchedule[[#This Row],[PMT NO]]&lt;&gt;"",SUM(INDEX(PaymentSchedule[INTEREST],1,1):PaymentSchedule[[#This Row],[INTEREST]]),"")</f>
        <v>89352.229721679323</v>
      </c>
    </row>
    <row r="167" spans="2:11" x14ac:dyDescent="0.2">
      <c r="B167" s="4">
        <f>IF(LoanIsGood,IF(ROW()-ROW(PaymentSchedule[[#Headers],[PMT NO]])&gt;ScheduledNumberOfPayments,"",ROW()-ROW(PaymentSchedule[[#Headers],[PMT NO]])),"")</f>
        <v>141</v>
      </c>
      <c r="C167" s="5">
        <f>IF(PaymentSchedule[[#This Row],[PMT NO]]&lt;&gt;"",EOMONTH(LoanStartDate,ROW(PaymentSchedule[[#This Row],[PMT NO]])-ROW(PaymentSchedule[[#Headers],[PMT NO]])-2)+DAY(LoanStartDate),"")</f>
        <v>50314</v>
      </c>
      <c r="D167" s="6">
        <f>IF(PaymentSchedule[[#This Row],[PMT NO]]&lt;&gt;"",IF(ROW()-ROW(PaymentSchedule[[#Headers],[BEGINNING BALANCE]])=1,LoanAmount,INDEX(PaymentSchedule[ENDING BALANCE],ROW()-ROW(PaymentSchedule[[#Headers],[BEGINNING BALANCE]])-1)),"")</f>
        <v>111840.32679173979</v>
      </c>
      <c r="E167" s="6">
        <f>IF(PaymentSchedule[[#This Row],[PMT NO]]&lt;&gt;"",ScheduledPayment,"")</f>
        <v>839.37073521385321</v>
      </c>
      <c r="F167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167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167" s="6">
        <f>IF(PaymentSchedule[[#This Row],[PMT NO]]&lt;&gt;"",PaymentSchedule[[#This Row],[TOTAL PAYMENT]]-PaymentSchedule[[#This Row],[INTEREST]],"")</f>
        <v>280.16910125515426</v>
      </c>
      <c r="I167" s="6">
        <f>IF(PaymentSchedule[[#This Row],[PMT NO]]&lt;&gt;"",PaymentSchedule[[#This Row],[BEGINNING BALANCE]]*(InterestRate/PaymentsPerYear),"")</f>
        <v>559.20163395869895</v>
      </c>
      <c r="J167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111560.15769048463</v>
      </c>
      <c r="K167" s="6">
        <f>IF(PaymentSchedule[[#This Row],[PMT NO]]&lt;&gt;"",SUM(INDEX(PaymentSchedule[INTEREST],1,1):PaymentSchedule[[#This Row],[INTEREST]]),"")</f>
        <v>89911.431355638022</v>
      </c>
    </row>
    <row r="168" spans="2:11" x14ac:dyDescent="0.2">
      <c r="B168" s="4">
        <f>IF(LoanIsGood,IF(ROW()-ROW(PaymentSchedule[[#Headers],[PMT NO]])&gt;ScheduledNumberOfPayments,"",ROW()-ROW(PaymentSchedule[[#Headers],[PMT NO]])),"")</f>
        <v>142</v>
      </c>
      <c r="C168" s="5">
        <f>IF(PaymentSchedule[[#This Row],[PMT NO]]&lt;&gt;"",EOMONTH(LoanStartDate,ROW(PaymentSchedule[[#This Row],[PMT NO]])-ROW(PaymentSchedule[[#Headers],[PMT NO]])-2)+DAY(LoanStartDate),"")</f>
        <v>50345</v>
      </c>
      <c r="D168" s="6">
        <f>IF(PaymentSchedule[[#This Row],[PMT NO]]&lt;&gt;"",IF(ROW()-ROW(PaymentSchedule[[#Headers],[BEGINNING BALANCE]])=1,LoanAmount,INDEX(PaymentSchedule[ENDING BALANCE],ROW()-ROW(PaymentSchedule[[#Headers],[BEGINNING BALANCE]])-1)),"")</f>
        <v>111560.15769048463</v>
      </c>
      <c r="E168" s="6">
        <f>IF(PaymentSchedule[[#This Row],[PMT NO]]&lt;&gt;"",ScheduledPayment,"")</f>
        <v>839.37073521385321</v>
      </c>
      <c r="F168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168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168" s="6">
        <f>IF(PaymentSchedule[[#This Row],[PMT NO]]&lt;&gt;"",PaymentSchedule[[#This Row],[TOTAL PAYMENT]]-PaymentSchedule[[#This Row],[INTEREST]],"")</f>
        <v>281.56994676143006</v>
      </c>
      <c r="I168" s="6">
        <f>IF(PaymentSchedule[[#This Row],[PMT NO]]&lt;&gt;"",PaymentSchedule[[#This Row],[BEGINNING BALANCE]]*(InterestRate/PaymentsPerYear),"")</f>
        <v>557.80078845242315</v>
      </c>
      <c r="J168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111278.5877437232</v>
      </c>
      <c r="K168" s="6">
        <f>IF(PaymentSchedule[[#This Row],[PMT NO]]&lt;&gt;"",SUM(INDEX(PaymentSchedule[INTEREST],1,1):PaymentSchedule[[#This Row],[INTEREST]]),"")</f>
        <v>90469.232144090449</v>
      </c>
    </row>
    <row r="169" spans="2:11" x14ac:dyDescent="0.2">
      <c r="B169" s="4">
        <f>IF(LoanIsGood,IF(ROW()-ROW(PaymentSchedule[[#Headers],[PMT NO]])&gt;ScheduledNumberOfPayments,"",ROW()-ROW(PaymentSchedule[[#Headers],[PMT NO]])),"")</f>
        <v>143</v>
      </c>
      <c r="C169" s="5">
        <f>IF(PaymentSchedule[[#This Row],[PMT NO]]&lt;&gt;"",EOMONTH(LoanStartDate,ROW(PaymentSchedule[[#This Row],[PMT NO]])-ROW(PaymentSchedule[[#Headers],[PMT NO]])-2)+DAY(LoanStartDate),"")</f>
        <v>50375</v>
      </c>
      <c r="D169" s="6">
        <f>IF(PaymentSchedule[[#This Row],[PMT NO]]&lt;&gt;"",IF(ROW()-ROW(PaymentSchedule[[#Headers],[BEGINNING BALANCE]])=1,LoanAmount,INDEX(PaymentSchedule[ENDING BALANCE],ROW()-ROW(PaymentSchedule[[#Headers],[BEGINNING BALANCE]])-1)),"")</f>
        <v>111278.5877437232</v>
      </c>
      <c r="E169" s="6">
        <f>IF(PaymentSchedule[[#This Row],[PMT NO]]&lt;&gt;"",ScheduledPayment,"")</f>
        <v>839.37073521385321</v>
      </c>
      <c r="F169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169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169" s="6">
        <f>IF(PaymentSchedule[[#This Row],[PMT NO]]&lt;&gt;"",PaymentSchedule[[#This Row],[TOTAL PAYMENT]]-PaymentSchedule[[#This Row],[INTEREST]],"")</f>
        <v>282.97779649523716</v>
      </c>
      <c r="I169" s="6">
        <f>IF(PaymentSchedule[[#This Row],[PMT NO]]&lt;&gt;"",PaymentSchedule[[#This Row],[BEGINNING BALANCE]]*(InterestRate/PaymentsPerYear),"")</f>
        <v>556.39293871861605</v>
      </c>
      <c r="J169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110995.60994722796</v>
      </c>
      <c r="K169" s="6">
        <f>IF(PaymentSchedule[[#This Row],[PMT NO]]&lt;&gt;"",SUM(INDEX(PaymentSchedule[INTEREST],1,1):PaymentSchedule[[#This Row],[INTEREST]]),"")</f>
        <v>91025.625082809071</v>
      </c>
    </row>
    <row r="170" spans="2:11" x14ac:dyDescent="0.2">
      <c r="B170" s="4">
        <f>IF(LoanIsGood,IF(ROW()-ROW(PaymentSchedule[[#Headers],[PMT NO]])&gt;ScheduledNumberOfPayments,"",ROW()-ROW(PaymentSchedule[[#Headers],[PMT NO]])),"")</f>
        <v>144</v>
      </c>
      <c r="C170" s="5">
        <f>IF(PaymentSchedule[[#This Row],[PMT NO]]&lt;&gt;"",EOMONTH(LoanStartDate,ROW(PaymentSchedule[[#This Row],[PMT NO]])-ROW(PaymentSchedule[[#Headers],[PMT NO]])-2)+DAY(LoanStartDate),"")</f>
        <v>50406</v>
      </c>
      <c r="D170" s="6">
        <f>IF(PaymentSchedule[[#This Row],[PMT NO]]&lt;&gt;"",IF(ROW()-ROW(PaymentSchedule[[#Headers],[BEGINNING BALANCE]])=1,LoanAmount,INDEX(PaymentSchedule[ENDING BALANCE],ROW()-ROW(PaymentSchedule[[#Headers],[BEGINNING BALANCE]])-1)),"")</f>
        <v>110995.60994722796</v>
      </c>
      <c r="E170" s="6">
        <f>IF(PaymentSchedule[[#This Row],[PMT NO]]&lt;&gt;"",ScheduledPayment,"")</f>
        <v>839.37073521385321</v>
      </c>
      <c r="F170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170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170" s="6">
        <f>IF(PaymentSchedule[[#This Row],[PMT NO]]&lt;&gt;"",PaymentSchedule[[#This Row],[TOTAL PAYMENT]]-PaymentSchedule[[#This Row],[INTEREST]],"")</f>
        <v>284.39268547771337</v>
      </c>
      <c r="I170" s="6">
        <f>IF(PaymentSchedule[[#This Row],[PMT NO]]&lt;&gt;"",PaymentSchedule[[#This Row],[BEGINNING BALANCE]]*(InterestRate/PaymentsPerYear),"")</f>
        <v>554.97804973613984</v>
      </c>
      <c r="J170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110711.21726175025</v>
      </c>
      <c r="K170" s="6">
        <f>IF(PaymentSchedule[[#This Row],[PMT NO]]&lt;&gt;"",SUM(INDEX(PaymentSchedule[INTEREST],1,1):PaymentSchedule[[#This Row],[INTEREST]]),"")</f>
        <v>91580.603132545206</v>
      </c>
    </row>
    <row r="171" spans="2:11" x14ac:dyDescent="0.2">
      <c r="B171" s="4">
        <f>IF(LoanIsGood,IF(ROW()-ROW(PaymentSchedule[[#Headers],[PMT NO]])&gt;ScheduledNumberOfPayments,"",ROW()-ROW(PaymentSchedule[[#Headers],[PMT NO]])),"")</f>
        <v>145</v>
      </c>
      <c r="C171" s="5">
        <f>IF(PaymentSchedule[[#This Row],[PMT NO]]&lt;&gt;"",EOMONTH(LoanStartDate,ROW(PaymentSchedule[[#This Row],[PMT NO]])-ROW(PaymentSchedule[[#Headers],[PMT NO]])-2)+DAY(LoanStartDate),"")</f>
        <v>50437</v>
      </c>
      <c r="D171" s="6">
        <f>IF(PaymentSchedule[[#This Row],[PMT NO]]&lt;&gt;"",IF(ROW()-ROW(PaymentSchedule[[#Headers],[BEGINNING BALANCE]])=1,LoanAmount,INDEX(PaymentSchedule[ENDING BALANCE],ROW()-ROW(PaymentSchedule[[#Headers],[BEGINNING BALANCE]])-1)),"")</f>
        <v>110711.21726175025</v>
      </c>
      <c r="E171" s="6">
        <f>IF(PaymentSchedule[[#This Row],[PMT NO]]&lt;&gt;"",ScheduledPayment,"")</f>
        <v>839.37073521385321</v>
      </c>
      <c r="F171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171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171" s="6">
        <f>IF(PaymentSchedule[[#This Row],[PMT NO]]&lt;&gt;"",PaymentSchedule[[#This Row],[TOTAL PAYMENT]]-PaymentSchedule[[#This Row],[INTEREST]],"")</f>
        <v>285.81464890510199</v>
      </c>
      <c r="I171" s="6">
        <f>IF(PaymentSchedule[[#This Row],[PMT NO]]&lt;&gt;"",PaymentSchedule[[#This Row],[BEGINNING BALANCE]]*(InterestRate/PaymentsPerYear),"")</f>
        <v>553.55608630875122</v>
      </c>
      <c r="J171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110425.40261284515</v>
      </c>
      <c r="K171" s="6">
        <f>IF(PaymentSchedule[[#This Row],[PMT NO]]&lt;&gt;"",SUM(INDEX(PaymentSchedule[INTEREST],1,1):PaymentSchedule[[#This Row],[INTEREST]]),"")</f>
        <v>92134.159218853951</v>
      </c>
    </row>
    <row r="172" spans="2:11" x14ac:dyDescent="0.2">
      <c r="B172" s="4">
        <f>IF(LoanIsGood,IF(ROW()-ROW(PaymentSchedule[[#Headers],[PMT NO]])&gt;ScheduledNumberOfPayments,"",ROW()-ROW(PaymentSchedule[[#Headers],[PMT NO]])),"")</f>
        <v>146</v>
      </c>
      <c r="C172" s="5">
        <f>IF(PaymentSchedule[[#This Row],[PMT NO]]&lt;&gt;"",EOMONTH(LoanStartDate,ROW(PaymentSchedule[[#This Row],[PMT NO]])-ROW(PaymentSchedule[[#Headers],[PMT NO]])-2)+DAY(LoanStartDate),"")</f>
        <v>50465</v>
      </c>
      <c r="D172" s="6">
        <f>IF(PaymentSchedule[[#This Row],[PMT NO]]&lt;&gt;"",IF(ROW()-ROW(PaymentSchedule[[#Headers],[BEGINNING BALANCE]])=1,LoanAmount,INDEX(PaymentSchedule[ENDING BALANCE],ROW()-ROW(PaymentSchedule[[#Headers],[BEGINNING BALANCE]])-1)),"")</f>
        <v>110425.40261284515</v>
      </c>
      <c r="E172" s="6">
        <f>IF(PaymentSchedule[[#This Row],[PMT NO]]&lt;&gt;"",ScheduledPayment,"")</f>
        <v>839.37073521385321</v>
      </c>
      <c r="F172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172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172" s="6">
        <f>IF(PaymentSchedule[[#This Row],[PMT NO]]&lt;&gt;"",PaymentSchedule[[#This Row],[TOTAL PAYMENT]]-PaymentSchedule[[#This Row],[INTEREST]],"")</f>
        <v>287.24372214962739</v>
      </c>
      <c r="I172" s="6">
        <f>IF(PaymentSchedule[[#This Row],[PMT NO]]&lt;&gt;"",PaymentSchedule[[#This Row],[BEGINNING BALANCE]]*(InterestRate/PaymentsPerYear),"")</f>
        <v>552.12701306422582</v>
      </c>
      <c r="J172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110138.15889069553</v>
      </c>
      <c r="K172" s="6">
        <f>IF(PaymentSchedule[[#This Row],[PMT NO]]&lt;&gt;"",SUM(INDEX(PaymentSchedule[INTEREST],1,1):PaymentSchedule[[#This Row],[INTEREST]]),"")</f>
        <v>92686.286231918173</v>
      </c>
    </row>
    <row r="173" spans="2:11" x14ac:dyDescent="0.2">
      <c r="B173" s="4">
        <f>IF(LoanIsGood,IF(ROW()-ROW(PaymentSchedule[[#Headers],[PMT NO]])&gt;ScheduledNumberOfPayments,"",ROW()-ROW(PaymentSchedule[[#Headers],[PMT NO]])),"")</f>
        <v>147</v>
      </c>
      <c r="C173" s="5">
        <f>IF(PaymentSchedule[[#This Row],[PMT NO]]&lt;&gt;"",EOMONTH(LoanStartDate,ROW(PaymentSchedule[[#This Row],[PMT NO]])-ROW(PaymentSchedule[[#Headers],[PMT NO]])-2)+DAY(LoanStartDate),"")</f>
        <v>50496</v>
      </c>
      <c r="D173" s="6">
        <f>IF(PaymentSchedule[[#This Row],[PMT NO]]&lt;&gt;"",IF(ROW()-ROW(PaymentSchedule[[#Headers],[BEGINNING BALANCE]])=1,LoanAmount,INDEX(PaymentSchedule[ENDING BALANCE],ROW()-ROW(PaymentSchedule[[#Headers],[BEGINNING BALANCE]])-1)),"")</f>
        <v>110138.15889069553</v>
      </c>
      <c r="E173" s="6">
        <f>IF(PaymentSchedule[[#This Row],[PMT NO]]&lt;&gt;"",ScheduledPayment,"")</f>
        <v>839.37073521385321</v>
      </c>
      <c r="F173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173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173" s="6">
        <f>IF(PaymentSchedule[[#This Row],[PMT NO]]&lt;&gt;"",PaymentSchedule[[#This Row],[TOTAL PAYMENT]]-PaymentSchedule[[#This Row],[INTEREST]],"")</f>
        <v>288.67994076037553</v>
      </c>
      <c r="I173" s="6">
        <f>IF(PaymentSchedule[[#This Row],[PMT NO]]&lt;&gt;"",PaymentSchedule[[#This Row],[BEGINNING BALANCE]]*(InterestRate/PaymentsPerYear),"")</f>
        <v>550.69079445347768</v>
      </c>
      <c r="J173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109849.47894993516</v>
      </c>
      <c r="K173" s="6">
        <f>IF(PaymentSchedule[[#This Row],[PMT NO]]&lt;&gt;"",SUM(INDEX(PaymentSchedule[INTEREST],1,1):PaymentSchedule[[#This Row],[INTEREST]]),"")</f>
        <v>93236.977026371649</v>
      </c>
    </row>
    <row r="174" spans="2:11" x14ac:dyDescent="0.2">
      <c r="B174" s="4">
        <f>IF(LoanIsGood,IF(ROW()-ROW(PaymentSchedule[[#Headers],[PMT NO]])&gt;ScheduledNumberOfPayments,"",ROW()-ROW(PaymentSchedule[[#Headers],[PMT NO]])),"")</f>
        <v>148</v>
      </c>
      <c r="C174" s="5">
        <f>IF(PaymentSchedule[[#This Row],[PMT NO]]&lt;&gt;"",EOMONTH(LoanStartDate,ROW(PaymentSchedule[[#This Row],[PMT NO]])-ROW(PaymentSchedule[[#Headers],[PMT NO]])-2)+DAY(LoanStartDate),"")</f>
        <v>50526</v>
      </c>
      <c r="D174" s="6">
        <f>IF(PaymentSchedule[[#This Row],[PMT NO]]&lt;&gt;"",IF(ROW()-ROW(PaymentSchedule[[#Headers],[BEGINNING BALANCE]])=1,LoanAmount,INDEX(PaymentSchedule[ENDING BALANCE],ROW()-ROW(PaymentSchedule[[#Headers],[BEGINNING BALANCE]])-1)),"")</f>
        <v>109849.47894993516</v>
      </c>
      <c r="E174" s="6">
        <f>IF(PaymentSchedule[[#This Row],[PMT NO]]&lt;&gt;"",ScheduledPayment,"")</f>
        <v>839.37073521385321</v>
      </c>
      <c r="F174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174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174" s="6">
        <f>IF(PaymentSchedule[[#This Row],[PMT NO]]&lt;&gt;"",PaymentSchedule[[#This Row],[TOTAL PAYMENT]]-PaymentSchedule[[#This Row],[INTEREST]],"")</f>
        <v>290.12334046417743</v>
      </c>
      <c r="I174" s="6">
        <f>IF(PaymentSchedule[[#This Row],[PMT NO]]&lt;&gt;"",PaymentSchedule[[#This Row],[BEGINNING BALANCE]]*(InterestRate/PaymentsPerYear),"")</f>
        <v>549.24739474967578</v>
      </c>
      <c r="J174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109559.35560947098</v>
      </c>
      <c r="K174" s="6">
        <f>IF(PaymentSchedule[[#This Row],[PMT NO]]&lt;&gt;"",SUM(INDEX(PaymentSchedule[INTEREST],1,1):PaymentSchedule[[#This Row],[INTEREST]]),"")</f>
        <v>93786.224421121326</v>
      </c>
    </row>
    <row r="175" spans="2:11" x14ac:dyDescent="0.2">
      <c r="B175" s="4">
        <f>IF(LoanIsGood,IF(ROW()-ROW(PaymentSchedule[[#Headers],[PMT NO]])&gt;ScheduledNumberOfPayments,"",ROW()-ROW(PaymentSchedule[[#Headers],[PMT NO]])),"")</f>
        <v>149</v>
      </c>
      <c r="C175" s="5">
        <f>IF(PaymentSchedule[[#This Row],[PMT NO]]&lt;&gt;"",EOMONTH(LoanStartDate,ROW(PaymentSchedule[[#This Row],[PMT NO]])-ROW(PaymentSchedule[[#Headers],[PMT NO]])-2)+DAY(LoanStartDate),"")</f>
        <v>50557</v>
      </c>
      <c r="D175" s="6">
        <f>IF(PaymentSchedule[[#This Row],[PMT NO]]&lt;&gt;"",IF(ROW()-ROW(PaymentSchedule[[#Headers],[BEGINNING BALANCE]])=1,LoanAmount,INDEX(PaymentSchedule[ENDING BALANCE],ROW()-ROW(PaymentSchedule[[#Headers],[BEGINNING BALANCE]])-1)),"")</f>
        <v>109559.35560947098</v>
      </c>
      <c r="E175" s="6">
        <f>IF(PaymentSchedule[[#This Row],[PMT NO]]&lt;&gt;"",ScheduledPayment,"")</f>
        <v>839.37073521385321</v>
      </c>
      <c r="F175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175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175" s="6">
        <f>IF(PaymentSchedule[[#This Row],[PMT NO]]&lt;&gt;"",PaymentSchedule[[#This Row],[TOTAL PAYMENT]]-PaymentSchedule[[#This Row],[INTEREST]],"")</f>
        <v>291.5739571664983</v>
      </c>
      <c r="I175" s="6">
        <f>IF(PaymentSchedule[[#This Row],[PMT NO]]&lt;&gt;"",PaymentSchedule[[#This Row],[BEGINNING BALANCE]]*(InterestRate/PaymentsPerYear),"")</f>
        <v>547.79677804735491</v>
      </c>
      <c r="J175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109267.78165230447</v>
      </c>
      <c r="K175" s="6">
        <f>IF(PaymentSchedule[[#This Row],[PMT NO]]&lt;&gt;"",SUM(INDEX(PaymentSchedule[INTEREST],1,1):PaymentSchedule[[#This Row],[INTEREST]]),"")</f>
        <v>94334.021199168681</v>
      </c>
    </row>
    <row r="176" spans="2:11" x14ac:dyDescent="0.2">
      <c r="B176" s="4">
        <f>IF(LoanIsGood,IF(ROW()-ROW(PaymentSchedule[[#Headers],[PMT NO]])&gt;ScheduledNumberOfPayments,"",ROW()-ROW(PaymentSchedule[[#Headers],[PMT NO]])),"")</f>
        <v>150</v>
      </c>
      <c r="C176" s="5">
        <f>IF(PaymentSchedule[[#This Row],[PMT NO]]&lt;&gt;"",EOMONTH(LoanStartDate,ROW(PaymentSchedule[[#This Row],[PMT NO]])-ROW(PaymentSchedule[[#Headers],[PMT NO]])-2)+DAY(LoanStartDate),"")</f>
        <v>50587</v>
      </c>
      <c r="D176" s="6">
        <f>IF(PaymentSchedule[[#This Row],[PMT NO]]&lt;&gt;"",IF(ROW()-ROW(PaymentSchedule[[#Headers],[BEGINNING BALANCE]])=1,LoanAmount,INDEX(PaymentSchedule[ENDING BALANCE],ROW()-ROW(PaymentSchedule[[#Headers],[BEGINNING BALANCE]])-1)),"")</f>
        <v>109267.78165230447</v>
      </c>
      <c r="E176" s="6">
        <f>IF(PaymentSchedule[[#This Row],[PMT NO]]&lt;&gt;"",ScheduledPayment,"")</f>
        <v>839.37073521385321</v>
      </c>
      <c r="F176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176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176" s="6">
        <f>IF(PaymentSchedule[[#This Row],[PMT NO]]&lt;&gt;"",PaymentSchedule[[#This Row],[TOTAL PAYMENT]]-PaymentSchedule[[#This Row],[INTEREST]],"")</f>
        <v>293.03182695233079</v>
      </c>
      <c r="I176" s="6">
        <f>IF(PaymentSchedule[[#This Row],[PMT NO]]&lt;&gt;"",PaymentSchedule[[#This Row],[BEGINNING BALANCE]]*(InterestRate/PaymentsPerYear),"")</f>
        <v>546.33890826152242</v>
      </c>
      <c r="J176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108974.74982535215</v>
      </c>
      <c r="K176" s="6">
        <f>IF(PaymentSchedule[[#This Row],[PMT NO]]&lt;&gt;"",SUM(INDEX(PaymentSchedule[INTEREST],1,1):PaymentSchedule[[#This Row],[INTEREST]]),"")</f>
        <v>94880.360107430199</v>
      </c>
    </row>
    <row r="177" spans="2:11" x14ac:dyDescent="0.2">
      <c r="B177" s="4">
        <f>IF(LoanIsGood,IF(ROW()-ROW(PaymentSchedule[[#Headers],[PMT NO]])&gt;ScheduledNumberOfPayments,"",ROW()-ROW(PaymentSchedule[[#Headers],[PMT NO]])),"")</f>
        <v>151</v>
      </c>
      <c r="C177" s="5">
        <f>IF(PaymentSchedule[[#This Row],[PMT NO]]&lt;&gt;"",EOMONTH(LoanStartDate,ROW(PaymentSchedule[[#This Row],[PMT NO]])-ROW(PaymentSchedule[[#Headers],[PMT NO]])-2)+DAY(LoanStartDate),"")</f>
        <v>50618</v>
      </c>
      <c r="D177" s="6">
        <f>IF(PaymentSchedule[[#This Row],[PMT NO]]&lt;&gt;"",IF(ROW()-ROW(PaymentSchedule[[#Headers],[BEGINNING BALANCE]])=1,LoanAmount,INDEX(PaymentSchedule[ENDING BALANCE],ROW()-ROW(PaymentSchedule[[#Headers],[BEGINNING BALANCE]])-1)),"")</f>
        <v>108974.74982535215</v>
      </c>
      <c r="E177" s="6">
        <f>IF(PaymentSchedule[[#This Row],[PMT NO]]&lt;&gt;"",ScheduledPayment,"")</f>
        <v>839.37073521385321</v>
      </c>
      <c r="F177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177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177" s="6">
        <f>IF(PaymentSchedule[[#This Row],[PMT NO]]&lt;&gt;"",PaymentSchedule[[#This Row],[TOTAL PAYMENT]]-PaymentSchedule[[#This Row],[INTEREST]],"")</f>
        <v>294.49698608709241</v>
      </c>
      <c r="I177" s="6">
        <f>IF(PaymentSchedule[[#This Row],[PMT NO]]&lt;&gt;"",PaymentSchedule[[#This Row],[BEGINNING BALANCE]]*(InterestRate/PaymentsPerYear),"")</f>
        <v>544.8737491267608</v>
      </c>
      <c r="J177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108680.25283926506</v>
      </c>
      <c r="K177" s="6">
        <f>IF(PaymentSchedule[[#This Row],[PMT NO]]&lt;&gt;"",SUM(INDEX(PaymentSchedule[INTEREST],1,1):PaymentSchedule[[#This Row],[INTEREST]]),"")</f>
        <v>95425.233856556966</v>
      </c>
    </row>
    <row r="178" spans="2:11" x14ac:dyDescent="0.2">
      <c r="B178" s="4">
        <f>IF(LoanIsGood,IF(ROW()-ROW(PaymentSchedule[[#Headers],[PMT NO]])&gt;ScheduledNumberOfPayments,"",ROW()-ROW(PaymentSchedule[[#Headers],[PMT NO]])),"")</f>
        <v>152</v>
      </c>
      <c r="C178" s="5">
        <f>IF(PaymentSchedule[[#This Row],[PMT NO]]&lt;&gt;"",EOMONTH(LoanStartDate,ROW(PaymentSchedule[[#This Row],[PMT NO]])-ROW(PaymentSchedule[[#Headers],[PMT NO]])-2)+DAY(LoanStartDate),"")</f>
        <v>50649</v>
      </c>
      <c r="D178" s="6">
        <f>IF(PaymentSchedule[[#This Row],[PMT NO]]&lt;&gt;"",IF(ROW()-ROW(PaymentSchedule[[#Headers],[BEGINNING BALANCE]])=1,LoanAmount,INDEX(PaymentSchedule[ENDING BALANCE],ROW()-ROW(PaymentSchedule[[#Headers],[BEGINNING BALANCE]])-1)),"")</f>
        <v>108680.25283926506</v>
      </c>
      <c r="E178" s="6">
        <f>IF(PaymentSchedule[[#This Row],[PMT NO]]&lt;&gt;"",ScheduledPayment,"")</f>
        <v>839.37073521385321</v>
      </c>
      <c r="F178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178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178" s="6">
        <f>IF(PaymentSchedule[[#This Row],[PMT NO]]&lt;&gt;"",PaymentSchedule[[#This Row],[TOTAL PAYMENT]]-PaymentSchedule[[#This Row],[INTEREST]],"")</f>
        <v>295.96947101752789</v>
      </c>
      <c r="I178" s="6">
        <f>IF(PaymentSchedule[[#This Row],[PMT NO]]&lt;&gt;"",PaymentSchedule[[#This Row],[BEGINNING BALANCE]]*(InterestRate/PaymentsPerYear),"")</f>
        <v>543.40126419632531</v>
      </c>
      <c r="J178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108384.28336824753</v>
      </c>
      <c r="K178" s="6">
        <f>IF(PaymentSchedule[[#This Row],[PMT NO]]&lt;&gt;"",SUM(INDEX(PaymentSchedule[INTEREST],1,1):PaymentSchedule[[#This Row],[INTEREST]]),"")</f>
        <v>95968.635120753286</v>
      </c>
    </row>
    <row r="179" spans="2:11" x14ac:dyDescent="0.2">
      <c r="B179" s="4">
        <f>IF(LoanIsGood,IF(ROW()-ROW(PaymentSchedule[[#Headers],[PMT NO]])&gt;ScheduledNumberOfPayments,"",ROW()-ROW(PaymentSchedule[[#Headers],[PMT NO]])),"")</f>
        <v>153</v>
      </c>
      <c r="C179" s="5">
        <f>IF(PaymentSchedule[[#This Row],[PMT NO]]&lt;&gt;"",EOMONTH(LoanStartDate,ROW(PaymentSchedule[[#This Row],[PMT NO]])-ROW(PaymentSchedule[[#Headers],[PMT NO]])-2)+DAY(LoanStartDate),"")</f>
        <v>50679</v>
      </c>
      <c r="D179" s="6">
        <f>IF(PaymentSchedule[[#This Row],[PMT NO]]&lt;&gt;"",IF(ROW()-ROW(PaymentSchedule[[#Headers],[BEGINNING BALANCE]])=1,LoanAmount,INDEX(PaymentSchedule[ENDING BALANCE],ROW()-ROW(PaymentSchedule[[#Headers],[BEGINNING BALANCE]])-1)),"")</f>
        <v>108384.28336824753</v>
      </c>
      <c r="E179" s="6">
        <f>IF(PaymentSchedule[[#This Row],[PMT NO]]&lt;&gt;"",ScheduledPayment,"")</f>
        <v>839.37073521385321</v>
      </c>
      <c r="F179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179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179" s="6">
        <f>IF(PaymentSchedule[[#This Row],[PMT NO]]&lt;&gt;"",PaymentSchedule[[#This Row],[TOTAL PAYMENT]]-PaymentSchedule[[#This Row],[INTEREST]],"")</f>
        <v>297.44931837261549</v>
      </c>
      <c r="I179" s="6">
        <f>IF(PaymentSchedule[[#This Row],[PMT NO]]&lt;&gt;"",PaymentSchedule[[#This Row],[BEGINNING BALANCE]]*(InterestRate/PaymentsPerYear),"")</f>
        <v>541.92141684123771</v>
      </c>
      <c r="J179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108086.83404987492</v>
      </c>
      <c r="K179" s="6">
        <f>IF(PaymentSchedule[[#This Row],[PMT NO]]&lt;&gt;"",SUM(INDEX(PaymentSchedule[INTEREST],1,1):PaymentSchedule[[#This Row],[INTEREST]]),"")</f>
        <v>96510.55653759453</v>
      </c>
    </row>
    <row r="180" spans="2:11" x14ac:dyDescent="0.2">
      <c r="B180" s="4">
        <f>IF(LoanIsGood,IF(ROW()-ROW(PaymentSchedule[[#Headers],[PMT NO]])&gt;ScheduledNumberOfPayments,"",ROW()-ROW(PaymentSchedule[[#Headers],[PMT NO]])),"")</f>
        <v>154</v>
      </c>
      <c r="C180" s="5">
        <f>IF(PaymentSchedule[[#This Row],[PMT NO]]&lt;&gt;"",EOMONTH(LoanStartDate,ROW(PaymentSchedule[[#This Row],[PMT NO]])-ROW(PaymentSchedule[[#Headers],[PMT NO]])-2)+DAY(LoanStartDate),"")</f>
        <v>50710</v>
      </c>
      <c r="D180" s="6">
        <f>IF(PaymentSchedule[[#This Row],[PMT NO]]&lt;&gt;"",IF(ROW()-ROW(PaymentSchedule[[#Headers],[BEGINNING BALANCE]])=1,LoanAmount,INDEX(PaymentSchedule[ENDING BALANCE],ROW()-ROW(PaymentSchedule[[#Headers],[BEGINNING BALANCE]])-1)),"")</f>
        <v>108086.83404987492</v>
      </c>
      <c r="E180" s="6">
        <f>IF(PaymentSchedule[[#This Row],[PMT NO]]&lt;&gt;"",ScheduledPayment,"")</f>
        <v>839.37073521385321</v>
      </c>
      <c r="F180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180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180" s="6">
        <f>IF(PaymentSchedule[[#This Row],[PMT NO]]&lt;&gt;"",PaymentSchedule[[#This Row],[TOTAL PAYMENT]]-PaymentSchedule[[#This Row],[INTEREST]],"")</f>
        <v>298.93656496447863</v>
      </c>
      <c r="I180" s="6">
        <f>IF(PaymentSchedule[[#This Row],[PMT NO]]&lt;&gt;"",PaymentSchedule[[#This Row],[BEGINNING BALANCE]]*(InterestRate/PaymentsPerYear),"")</f>
        <v>540.43417024937457</v>
      </c>
      <c r="J180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107787.89748491044</v>
      </c>
      <c r="K180" s="6">
        <f>IF(PaymentSchedule[[#This Row],[PMT NO]]&lt;&gt;"",SUM(INDEX(PaymentSchedule[INTEREST],1,1):PaymentSchedule[[#This Row],[INTEREST]]),"")</f>
        <v>97050.990707843899</v>
      </c>
    </row>
    <row r="181" spans="2:11" x14ac:dyDescent="0.2">
      <c r="B181" s="4">
        <f>IF(LoanIsGood,IF(ROW()-ROW(PaymentSchedule[[#Headers],[PMT NO]])&gt;ScheduledNumberOfPayments,"",ROW()-ROW(PaymentSchedule[[#Headers],[PMT NO]])),"")</f>
        <v>155</v>
      </c>
      <c r="C181" s="5">
        <f>IF(PaymentSchedule[[#This Row],[PMT NO]]&lt;&gt;"",EOMONTH(LoanStartDate,ROW(PaymentSchedule[[#This Row],[PMT NO]])-ROW(PaymentSchedule[[#Headers],[PMT NO]])-2)+DAY(LoanStartDate),"")</f>
        <v>50740</v>
      </c>
      <c r="D181" s="6">
        <f>IF(PaymentSchedule[[#This Row],[PMT NO]]&lt;&gt;"",IF(ROW()-ROW(PaymentSchedule[[#Headers],[BEGINNING BALANCE]])=1,LoanAmount,INDEX(PaymentSchedule[ENDING BALANCE],ROW()-ROW(PaymentSchedule[[#Headers],[BEGINNING BALANCE]])-1)),"")</f>
        <v>107787.89748491044</v>
      </c>
      <c r="E181" s="6">
        <f>IF(PaymentSchedule[[#This Row],[PMT NO]]&lt;&gt;"",ScheduledPayment,"")</f>
        <v>839.37073521385321</v>
      </c>
      <c r="F181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181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181" s="6">
        <f>IF(PaymentSchedule[[#This Row],[PMT NO]]&lt;&gt;"",PaymentSchedule[[#This Row],[TOTAL PAYMENT]]-PaymentSchedule[[#This Row],[INTEREST]],"")</f>
        <v>300.43124778930098</v>
      </c>
      <c r="I181" s="6">
        <f>IF(PaymentSchedule[[#This Row],[PMT NO]]&lt;&gt;"",PaymentSchedule[[#This Row],[BEGINNING BALANCE]]*(InterestRate/PaymentsPerYear),"")</f>
        <v>538.93948742455223</v>
      </c>
      <c r="J181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107487.46623712115</v>
      </c>
      <c r="K181" s="6">
        <f>IF(PaymentSchedule[[#This Row],[PMT NO]]&lt;&gt;"",SUM(INDEX(PaymentSchedule[INTEREST],1,1):PaymentSchedule[[#This Row],[INTEREST]]),"")</f>
        <v>97589.930195268447</v>
      </c>
    </row>
    <row r="182" spans="2:11" x14ac:dyDescent="0.2">
      <c r="B182" s="4">
        <f>IF(LoanIsGood,IF(ROW()-ROW(PaymentSchedule[[#Headers],[PMT NO]])&gt;ScheduledNumberOfPayments,"",ROW()-ROW(PaymentSchedule[[#Headers],[PMT NO]])),"")</f>
        <v>156</v>
      </c>
      <c r="C182" s="5">
        <f>IF(PaymentSchedule[[#This Row],[PMT NO]]&lt;&gt;"",EOMONTH(LoanStartDate,ROW(PaymentSchedule[[#This Row],[PMT NO]])-ROW(PaymentSchedule[[#Headers],[PMT NO]])-2)+DAY(LoanStartDate),"")</f>
        <v>50771</v>
      </c>
      <c r="D182" s="6">
        <f>IF(PaymentSchedule[[#This Row],[PMT NO]]&lt;&gt;"",IF(ROW()-ROW(PaymentSchedule[[#Headers],[BEGINNING BALANCE]])=1,LoanAmount,INDEX(PaymentSchedule[ENDING BALANCE],ROW()-ROW(PaymentSchedule[[#Headers],[BEGINNING BALANCE]])-1)),"")</f>
        <v>107487.46623712115</v>
      </c>
      <c r="E182" s="6">
        <f>IF(PaymentSchedule[[#This Row],[PMT NO]]&lt;&gt;"",ScheduledPayment,"")</f>
        <v>839.37073521385321</v>
      </c>
      <c r="F182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182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182" s="6">
        <f>IF(PaymentSchedule[[#This Row],[PMT NO]]&lt;&gt;"",PaymentSchedule[[#This Row],[TOTAL PAYMENT]]-PaymentSchedule[[#This Row],[INTEREST]],"")</f>
        <v>301.93340402824742</v>
      </c>
      <c r="I182" s="6">
        <f>IF(PaymentSchedule[[#This Row],[PMT NO]]&lt;&gt;"",PaymentSchedule[[#This Row],[BEGINNING BALANCE]]*(InterestRate/PaymentsPerYear),"")</f>
        <v>537.43733118560579</v>
      </c>
      <c r="J182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107185.5328330929</v>
      </c>
      <c r="K182" s="6">
        <f>IF(PaymentSchedule[[#This Row],[PMT NO]]&lt;&gt;"",SUM(INDEX(PaymentSchedule[INTEREST],1,1):PaymentSchedule[[#This Row],[INTEREST]]),"")</f>
        <v>98127.367526454051</v>
      </c>
    </row>
    <row r="183" spans="2:11" x14ac:dyDescent="0.2">
      <c r="B183" s="4">
        <f>IF(LoanIsGood,IF(ROW()-ROW(PaymentSchedule[[#Headers],[PMT NO]])&gt;ScheduledNumberOfPayments,"",ROW()-ROW(PaymentSchedule[[#Headers],[PMT NO]])),"")</f>
        <v>157</v>
      </c>
      <c r="C183" s="5">
        <f>IF(PaymentSchedule[[#This Row],[PMT NO]]&lt;&gt;"",EOMONTH(LoanStartDate,ROW(PaymentSchedule[[#This Row],[PMT NO]])-ROW(PaymentSchedule[[#Headers],[PMT NO]])-2)+DAY(LoanStartDate),"")</f>
        <v>50802</v>
      </c>
      <c r="D183" s="6">
        <f>IF(PaymentSchedule[[#This Row],[PMT NO]]&lt;&gt;"",IF(ROW()-ROW(PaymentSchedule[[#Headers],[BEGINNING BALANCE]])=1,LoanAmount,INDEX(PaymentSchedule[ENDING BALANCE],ROW()-ROW(PaymentSchedule[[#Headers],[BEGINNING BALANCE]])-1)),"")</f>
        <v>107185.5328330929</v>
      </c>
      <c r="E183" s="6">
        <f>IF(PaymentSchedule[[#This Row],[PMT NO]]&lt;&gt;"",ScheduledPayment,"")</f>
        <v>839.37073521385321</v>
      </c>
      <c r="F183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183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183" s="6">
        <f>IF(PaymentSchedule[[#This Row],[PMT NO]]&lt;&gt;"",PaymentSchedule[[#This Row],[TOTAL PAYMENT]]-PaymentSchedule[[#This Row],[INTEREST]],"")</f>
        <v>303.44307104838867</v>
      </c>
      <c r="I183" s="6">
        <f>IF(PaymentSchedule[[#This Row],[PMT NO]]&lt;&gt;"",PaymentSchedule[[#This Row],[BEGINNING BALANCE]]*(InterestRate/PaymentsPerYear),"")</f>
        <v>535.92766416546453</v>
      </c>
      <c r="J183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106882.08976204452</v>
      </c>
      <c r="K183" s="6">
        <f>IF(PaymentSchedule[[#This Row],[PMT NO]]&lt;&gt;"",SUM(INDEX(PaymentSchedule[INTEREST],1,1):PaymentSchedule[[#This Row],[INTEREST]]),"")</f>
        <v>98663.295190619509</v>
      </c>
    </row>
    <row r="184" spans="2:11" x14ac:dyDescent="0.2">
      <c r="B184" s="4">
        <f>IF(LoanIsGood,IF(ROW()-ROW(PaymentSchedule[[#Headers],[PMT NO]])&gt;ScheduledNumberOfPayments,"",ROW()-ROW(PaymentSchedule[[#Headers],[PMT NO]])),"")</f>
        <v>158</v>
      </c>
      <c r="C184" s="5">
        <f>IF(PaymentSchedule[[#This Row],[PMT NO]]&lt;&gt;"",EOMONTH(LoanStartDate,ROW(PaymentSchedule[[#This Row],[PMT NO]])-ROW(PaymentSchedule[[#Headers],[PMT NO]])-2)+DAY(LoanStartDate),"")</f>
        <v>50830</v>
      </c>
      <c r="D184" s="6">
        <f>IF(PaymentSchedule[[#This Row],[PMT NO]]&lt;&gt;"",IF(ROW()-ROW(PaymentSchedule[[#Headers],[BEGINNING BALANCE]])=1,LoanAmount,INDEX(PaymentSchedule[ENDING BALANCE],ROW()-ROW(PaymentSchedule[[#Headers],[BEGINNING BALANCE]])-1)),"")</f>
        <v>106882.08976204452</v>
      </c>
      <c r="E184" s="6">
        <f>IF(PaymentSchedule[[#This Row],[PMT NO]]&lt;&gt;"",ScheduledPayment,"")</f>
        <v>839.37073521385321</v>
      </c>
      <c r="F184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184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184" s="6">
        <f>IF(PaymentSchedule[[#This Row],[PMT NO]]&lt;&gt;"",PaymentSchedule[[#This Row],[TOTAL PAYMENT]]-PaymentSchedule[[#This Row],[INTEREST]],"")</f>
        <v>304.96028640363056</v>
      </c>
      <c r="I184" s="6">
        <f>IF(PaymentSchedule[[#This Row],[PMT NO]]&lt;&gt;"",PaymentSchedule[[#This Row],[BEGINNING BALANCE]]*(InterestRate/PaymentsPerYear),"")</f>
        <v>534.41044881022265</v>
      </c>
      <c r="J184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106577.12947564089</v>
      </c>
      <c r="K184" s="6">
        <f>IF(PaymentSchedule[[#This Row],[PMT NO]]&lt;&gt;"",SUM(INDEX(PaymentSchedule[INTEREST],1,1):PaymentSchedule[[#This Row],[INTEREST]]),"")</f>
        <v>99197.705639429725</v>
      </c>
    </row>
    <row r="185" spans="2:11" x14ac:dyDescent="0.2">
      <c r="B185" s="4">
        <f>IF(LoanIsGood,IF(ROW()-ROW(PaymentSchedule[[#Headers],[PMT NO]])&gt;ScheduledNumberOfPayments,"",ROW()-ROW(PaymentSchedule[[#Headers],[PMT NO]])),"")</f>
        <v>159</v>
      </c>
      <c r="C185" s="5">
        <f>IF(PaymentSchedule[[#This Row],[PMT NO]]&lt;&gt;"",EOMONTH(LoanStartDate,ROW(PaymentSchedule[[#This Row],[PMT NO]])-ROW(PaymentSchedule[[#Headers],[PMT NO]])-2)+DAY(LoanStartDate),"")</f>
        <v>50861</v>
      </c>
      <c r="D185" s="6">
        <f>IF(PaymentSchedule[[#This Row],[PMT NO]]&lt;&gt;"",IF(ROW()-ROW(PaymentSchedule[[#Headers],[BEGINNING BALANCE]])=1,LoanAmount,INDEX(PaymentSchedule[ENDING BALANCE],ROW()-ROW(PaymentSchedule[[#Headers],[BEGINNING BALANCE]])-1)),"")</f>
        <v>106577.12947564089</v>
      </c>
      <c r="E185" s="6">
        <f>IF(PaymentSchedule[[#This Row],[PMT NO]]&lt;&gt;"",ScheduledPayment,"")</f>
        <v>839.37073521385321</v>
      </c>
      <c r="F185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185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185" s="6">
        <f>IF(PaymentSchedule[[#This Row],[PMT NO]]&lt;&gt;"",PaymentSchedule[[#This Row],[TOTAL PAYMENT]]-PaymentSchedule[[#This Row],[INTEREST]],"")</f>
        <v>306.48508783564876</v>
      </c>
      <c r="I185" s="6">
        <f>IF(PaymentSchedule[[#This Row],[PMT NO]]&lt;&gt;"",PaymentSchedule[[#This Row],[BEGINNING BALANCE]]*(InterestRate/PaymentsPerYear),"")</f>
        <v>532.88564737820445</v>
      </c>
      <c r="J185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106270.64438780524</v>
      </c>
      <c r="K185" s="6">
        <f>IF(PaymentSchedule[[#This Row],[PMT NO]]&lt;&gt;"",SUM(INDEX(PaymentSchedule[INTEREST],1,1):PaymentSchedule[[#This Row],[INTEREST]]),"")</f>
        <v>99730.591286807932</v>
      </c>
    </row>
    <row r="186" spans="2:11" x14ac:dyDescent="0.2">
      <c r="B186" s="4">
        <f>IF(LoanIsGood,IF(ROW()-ROW(PaymentSchedule[[#Headers],[PMT NO]])&gt;ScheduledNumberOfPayments,"",ROW()-ROW(PaymentSchedule[[#Headers],[PMT NO]])),"")</f>
        <v>160</v>
      </c>
      <c r="C186" s="5">
        <f>IF(PaymentSchedule[[#This Row],[PMT NO]]&lt;&gt;"",EOMONTH(LoanStartDate,ROW(PaymentSchedule[[#This Row],[PMT NO]])-ROW(PaymentSchedule[[#Headers],[PMT NO]])-2)+DAY(LoanStartDate),"")</f>
        <v>50891</v>
      </c>
      <c r="D186" s="6">
        <f>IF(PaymentSchedule[[#This Row],[PMT NO]]&lt;&gt;"",IF(ROW()-ROW(PaymentSchedule[[#Headers],[BEGINNING BALANCE]])=1,LoanAmount,INDEX(PaymentSchedule[ENDING BALANCE],ROW()-ROW(PaymentSchedule[[#Headers],[BEGINNING BALANCE]])-1)),"")</f>
        <v>106270.64438780524</v>
      </c>
      <c r="E186" s="6">
        <f>IF(PaymentSchedule[[#This Row],[PMT NO]]&lt;&gt;"",ScheduledPayment,"")</f>
        <v>839.37073521385321</v>
      </c>
      <c r="F186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186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186" s="6">
        <f>IF(PaymentSchedule[[#This Row],[PMT NO]]&lt;&gt;"",PaymentSchedule[[#This Row],[TOTAL PAYMENT]]-PaymentSchedule[[#This Row],[INTEREST]],"")</f>
        <v>308.01751327482702</v>
      </c>
      <c r="I186" s="6">
        <f>IF(PaymentSchedule[[#This Row],[PMT NO]]&lt;&gt;"",PaymentSchedule[[#This Row],[BEGINNING BALANCE]]*(InterestRate/PaymentsPerYear),"")</f>
        <v>531.35322193902618</v>
      </c>
      <c r="J186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105962.62687453041</v>
      </c>
      <c r="K186" s="6">
        <f>IF(PaymentSchedule[[#This Row],[PMT NO]]&lt;&gt;"",SUM(INDEX(PaymentSchedule[INTEREST],1,1):PaymentSchedule[[#This Row],[INTEREST]]),"")</f>
        <v>100261.94450874696</v>
      </c>
    </row>
    <row r="187" spans="2:11" x14ac:dyDescent="0.2">
      <c r="B187" s="4">
        <f>IF(LoanIsGood,IF(ROW()-ROW(PaymentSchedule[[#Headers],[PMT NO]])&gt;ScheduledNumberOfPayments,"",ROW()-ROW(PaymentSchedule[[#Headers],[PMT NO]])),"")</f>
        <v>161</v>
      </c>
      <c r="C187" s="5">
        <f>IF(PaymentSchedule[[#This Row],[PMT NO]]&lt;&gt;"",EOMONTH(LoanStartDate,ROW(PaymentSchedule[[#This Row],[PMT NO]])-ROW(PaymentSchedule[[#Headers],[PMT NO]])-2)+DAY(LoanStartDate),"")</f>
        <v>50922</v>
      </c>
      <c r="D187" s="6">
        <f>IF(PaymentSchedule[[#This Row],[PMT NO]]&lt;&gt;"",IF(ROW()-ROW(PaymentSchedule[[#Headers],[BEGINNING BALANCE]])=1,LoanAmount,INDEX(PaymentSchedule[ENDING BALANCE],ROW()-ROW(PaymentSchedule[[#Headers],[BEGINNING BALANCE]])-1)),"")</f>
        <v>105962.62687453041</v>
      </c>
      <c r="E187" s="6">
        <f>IF(PaymentSchedule[[#This Row],[PMT NO]]&lt;&gt;"",ScheduledPayment,"")</f>
        <v>839.37073521385321</v>
      </c>
      <c r="F187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187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187" s="6">
        <f>IF(PaymentSchedule[[#This Row],[PMT NO]]&lt;&gt;"",PaymentSchedule[[#This Row],[TOTAL PAYMENT]]-PaymentSchedule[[#This Row],[INTEREST]],"")</f>
        <v>309.55760084120118</v>
      </c>
      <c r="I187" s="6">
        <f>IF(PaymentSchedule[[#This Row],[PMT NO]]&lt;&gt;"",PaymentSchedule[[#This Row],[BEGINNING BALANCE]]*(InterestRate/PaymentsPerYear),"")</f>
        <v>529.81313437265203</v>
      </c>
      <c r="J187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105653.06927368921</v>
      </c>
      <c r="K187" s="6">
        <f>IF(PaymentSchedule[[#This Row],[PMT NO]]&lt;&gt;"",SUM(INDEX(PaymentSchedule[INTEREST],1,1):PaymentSchedule[[#This Row],[INTEREST]]),"")</f>
        <v>100791.75764311962</v>
      </c>
    </row>
    <row r="188" spans="2:11" x14ac:dyDescent="0.2">
      <c r="B188" s="4">
        <f>IF(LoanIsGood,IF(ROW()-ROW(PaymentSchedule[[#Headers],[PMT NO]])&gt;ScheduledNumberOfPayments,"",ROW()-ROW(PaymentSchedule[[#Headers],[PMT NO]])),"")</f>
        <v>162</v>
      </c>
      <c r="C188" s="5">
        <f>IF(PaymentSchedule[[#This Row],[PMT NO]]&lt;&gt;"",EOMONTH(LoanStartDate,ROW(PaymentSchedule[[#This Row],[PMT NO]])-ROW(PaymentSchedule[[#Headers],[PMT NO]])-2)+DAY(LoanStartDate),"")</f>
        <v>50952</v>
      </c>
      <c r="D188" s="6">
        <f>IF(PaymentSchedule[[#This Row],[PMT NO]]&lt;&gt;"",IF(ROW()-ROW(PaymentSchedule[[#Headers],[BEGINNING BALANCE]])=1,LoanAmount,INDEX(PaymentSchedule[ENDING BALANCE],ROW()-ROW(PaymentSchedule[[#Headers],[BEGINNING BALANCE]])-1)),"")</f>
        <v>105653.06927368921</v>
      </c>
      <c r="E188" s="6">
        <f>IF(PaymentSchedule[[#This Row],[PMT NO]]&lt;&gt;"",ScheduledPayment,"")</f>
        <v>839.37073521385321</v>
      </c>
      <c r="F188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188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188" s="6">
        <f>IF(PaymentSchedule[[#This Row],[PMT NO]]&lt;&gt;"",PaymentSchedule[[#This Row],[TOTAL PAYMENT]]-PaymentSchedule[[#This Row],[INTEREST]],"")</f>
        <v>311.10538884540711</v>
      </c>
      <c r="I188" s="6">
        <f>IF(PaymentSchedule[[#This Row],[PMT NO]]&lt;&gt;"",PaymentSchedule[[#This Row],[BEGINNING BALANCE]]*(InterestRate/PaymentsPerYear),"")</f>
        <v>528.2653463684461</v>
      </c>
      <c r="J188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105341.9638848438</v>
      </c>
      <c r="K188" s="6">
        <f>IF(PaymentSchedule[[#This Row],[PMT NO]]&lt;&gt;"",SUM(INDEX(PaymentSchedule[INTEREST],1,1):PaymentSchedule[[#This Row],[INTEREST]]),"")</f>
        <v>101320.02298948806</v>
      </c>
    </row>
    <row r="189" spans="2:11" x14ac:dyDescent="0.2">
      <c r="B189" s="4">
        <f>IF(LoanIsGood,IF(ROW()-ROW(PaymentSchedule[[#Headers],[PMT NO]])&gt;ScheduledNumberOfPayments,"",ROW()-ROW(PaymentSchedule[[#Headers],[PMT NO]])),"")</f>
        <v>163</v>
      </c>
      <c r="C189" s="5">
        <f>IF(PaymentSchedule[[#This Row],[PMT NO]]&lt;&gt;"",EOMONTH(LoanStartDate,ROW(PaymentSchedule[[#This Row],[PMT NO]])-ROW(PaymentSchedule[[#Headers],[PMT NO]])-2)+DAY(LoanStartDate),"")</f>
        <v>50983</v>
      </c>
      <c r="D189" s="6">
        <f>IF(PaymentSchedule[[#This Row],[PMT NO]]&lt;&gt;"",IF(ROW()-ROW(PaymentSchedule[[#Headers],[BEGINNING BALANCE]])=1,LoanAmount,INDEX(PaymentSchedule[ENDING BALANCE],ROW()-ROW(PaymentSchedule[[#Headers],[BEGINNING BALANCE]])-1)),"")</f>
        <v>105341.9638848438</v>
      </c>
      <c r="E189" s="6">
        <f>IF(PaymentSchedule[[#This Row],[PMT NO]]&lt;&gt;"",ScheduledPayment,"")</f>
        <v>839.37073521385321</v>
      </c>
      <c r="F189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189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189" s="6">
        <f>IF(PaymentSchedule[[#This Row],[PMT NO]]&lt;&gt;"",PaymentSchedule[[#This Row],[TOTAL PAYMENT]]-PaymentSchedule[[#This Row],[INTEREST]],"")</f>
        <v>312.66091578963415</v>
      </c>
      <c r="I189" s="6">
        <f>IF(PaymentSchedule[[#This Row],[PMT NO]]&lt;&gt;"",PaymentSchedule[[#This Row],[BEGINNING BALANCE]]*(InterestRate/PaymentsPerYear),"")</f>
        <v>526.70981942421906</v>
      </c>
      <c r="J189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105029.30296905417</v>
      </c>
      <c r="K189" s="6">
        <f>IF(PaymentSchedule[[#This Row],[PMT NO]]&lt;&gt;"",SUM(INDEX(PaymentSchedule[INTEREST],1,1):PaymentSchedule[[#This Row],[INTEREST]]),"")</f>
        <v>101846.73280891227</v>
      </c>
    </row>
    <row r="190" spans="2:11" x14ac:dyDescent="0.2">
      <c r="B190" s="4">
        <f>IF(LoanIsGood,IF(ROW()-ROW(PaymentSchedule[[#Headers],[PMT NO]])&gt;ScheduledNumberOfPayments,"",ROW()-ROW(PaymentSchedule[[#Headers],[PMT NO]])),"")</f>
        <v>164</v>
      </c>
      <c r="C190" s="5">
        <f>IF(PaymentSchedule[[#This Row],[PMT NO]]&lt;&gt;"",EOMONTH(LoanStartDate,ROW(PaymentSchedule[[#This Row],[PMT NO]])-ROW(PaymentSchedule[[#Headers],[PMT NO]])-2)+DAY(LoanStartDate),"")</f>
        <v>51014</v>
      </c>
      <c r="D190" s="6">
        <f>IF(PaymentSchedule[[#This Row],[PMT NO]]&lt;&gt;"",IF(ROW()-ROW(PaymentSchedule[[#Headers],[BEGINNING BALANCE]])=1,LoanAmount,INDEX(PaymentSchedule[ENDING BALANCE],ROW()-ROW(PaymentSchedule[[#Headers],[BEGINNING BALANCE]])-1)),"")</f>
        <v>105029.30296905417</v>
      </c>
      <c r="E190" s="6">
        <f>IF(PaymentSchedule[[#This Row],[PMT NO]]&lt;&gt;"",ScheduledPayment,"")</f>
        <v>839.37073521385321</v>
      </c>
      <c r="F190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190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190" s="6">
        <f>IF(PaymentSchedule[[#This Row],[PMT NO]]&lt;&gt;"",PaymentSchedule[[#This Row],[TOTAL PAYMENT]]-PaymentSchedule[[#This Row],[INTEREST]],"")</f>
        <v>314.22422036858234</v>
      </c>
      <c r="I190" s="6">
        <f>IF(PaymentSchedule[[#This Row],[PMT NO]]&lt;&gt;"",PaymentSchedule[[#This Row],[BEGINNING BALANCE]]*(InterestRate/PaymentsPerYear),"")</f>
        <v>525.14651484527087</v>
      </c>
      <c r="J190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104715.07874868558</v>
      </c>
      <c r="K190" s="6">
        <f>IF(PaymentSchedule[[#This Row],[PMT NO]]&lt;&gt;"",SUM(INDEX(PaymentSchedule[INTEREST],1,1):PaymentSchedule[[#This Row],[INTEREST]]),"")</f>
        <v>102371.87932375754</v>
      </c>
    </row>
    <row r="191" spans="2:11" x14ac:dyDescent="0.2">
      <c r="B191" s="4">
        <f>IF(LoanIsGood,IF(ROW()-ROW(PaymentSchedule[[#Headers],[PMT NO]])&gt;ScheduledNumberOfPayments,"",ROW()-ROW(PaymentSchedule[[#Headers],[PMT NO]])),"")</f>
        <v>165</v>
      </c>
      <c r="C191" s="5">
        <f>IF(PaymentSchedule[[#This Row],[PMT NO]]&lt;&gt;"",EOMONTH(LoanStartDate,ROW(PaymentSchedule[[#This Row],[PMT NO]])-ROW(PaymentSchedule[[#Headers],[PMT NO]])-2)+DAY(LoanStartDate),"")</f>
        <v>51044</v>
      </c>
      <c r="D191" s="6">
        <f>IF(PaymentSchedule[[#This Row],[PMT NO]]&lt;&gt;"",IF(ROW()-ROW(PaymentSchedule[[#Headers],[BEGINNING BALANCE]])=1,LoanAmount,INDEX(PaymentSchedule[ENDING BALANCE],ROW()-ROW(PaymentSchedule[[#Headers],[BEGINNING BALANCE]])-1)),"")</f>
        <v>104715.07874868558</v>
      </c>
      <c r="E191" s="6">
        <f>IF(PaymentSchedule[[#This Row],[PMT NO]]&lt;&gt;"",ScheduledPayment,"")</f>
        <v>839.37073521385321</v>
      </c>
      <c r="F191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191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191" s="6">
        <f>IF(PaymentSchedule[[#This Row],[PMT NO]]&lt;&gt;"",PaymentSchedule[[#This Row],[TOTAL PAYMENT]]-PaymentSchedule[[#This Row],[INTEREST]],"")</f>
        <v>315.79534147042523</v>
      </c>
      <c r="I191" s="6">
        <f>IF(PaymentSchedule[[#This Row],[PMT NO]]&lt;&gt;"",PaymentSchedule[[#This Row],[BEGINNING BALANCE]]*(InterestRate/PaymentsPerYear),"")</f>
        <v>523.57539374342798</v>
      </c>
      <c r="J191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104399.28340721516</v>
      </c>
      <c r="K191" s="6">
        <f>IF(PaymentSchedule[[#This Row],[PMT NO]]&lt;&gt;"",SUM(INDEX(PaymentSchedule[INTEREST],1,1):PaymentSchedule[[#This Row],[INTEREST]]),"")</f>
        <v>102895.45471750098</v>
      </c>
    </row>
    <row r="192" spans="2:11" x14ac:dyDescent="0.2">
      <c r="B192" s="4">
        <f>IF(LoanIsGood,IF(ROW()-ROW(PaymentSchedule[[#Headers],[PMT NO]])&gt;ScheduledNumberOfPayments,"",ROW()-ROW(PaymentSchedule[[#Headers],[PMT NO]])),"")</f>
        <v>166</v>
      </c>
      <c r="C192" s="5">
        <f>IF(PaymentSchedule[[#This Row],[PMT NO]]&lt;&gt;"",EOMONTH(LoanStartDate,ROW(PaymentSchedule[[#This Row],[PMT NO]])-ROW(PaymentSchedule[[#Headers],[PMT NO]])-2)+DAY(LoanStartDate),"")</f>
        <v>51075</v>
      </c>
      <c r="D192" s="6">
        <f>IF(PaymentSchedule[[#This Row],[PMT NO]]&lt;&gt;"",IF(ROW()-ROW(PaymentSchedule[[#Headers],[BEGINNING BALANCE]])=1,LoanAmount,INDEX(PaymentSchedule[ENDING BALANCE],ROW()-ROW(PaymentSchedule[[#Headers],[BEGINNING BALANCE]])-1)),"")</f>
        <v>104399.28340721516</v>
      </c>
      <c r="E192" s="6">
        <f>IF(PaymentSchedule[[#This Row],[PMT NO]]&lt;&gt;"",ScheduledPayment,"")</f>
        <v>839.37073521385321</v>
      </c>
      <c r="F192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192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192" s="6">
        <f>IF(PaymentSchedule[[#This Row],[PMT NO]]&lt;&gt;"",PaymentSchedule[[#This Row],[TOTAL PAYMENT]]-PaymentSchedule[[#This Row],[INTEREST]],"")</f>
        <v>317.37431817777735</v>
      </c>
      <c r="I192" s="6">
        <f>IF(PaymentSchedule[[#This Row],[PMT NO]]&lt;&gt;"",PaymentSchedule[[#This Row],[BEGINNING BALANCE]]*(InterestRate/PaymentsPerYear),"")</f>
        <v>521.99641703607585</v>
      </c>
      <c r="J192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104081.90908903738</v>
      </c>
      <c r="K192" s="6">
        <f>IF(PaymentSchedule[[#This Row],[PMT NO]]&lt;&gt;"",SUM(INDEX(PaymentSchedule[INTEREST],1,1):PaymentSchedule[[#This Row],[INTEREST]]),"")</f>
        <v>103417.45113453706</v>
      </c>
    </row>
    <row r="193" spans="2:11" x14ac:dyDescent="0.2">
      <c r="B193" s="4">
        <f>IF(LoanIsGood,IF(ROW()-ROW(PaymentSchedule[[#Headers],[PMT NO]])&gt;ScheduledNumberOfPayments,"",ROW()-ROW(PaymentSchedule[[#Headers],[PMT NO]])),"")</f>
        <v>167</v>
      </c>
      <c r="C193" s="5">
        <f>IF(PaymentSchedule[[#This Row],[PMT NO]]&lt;&gt;"",EOMONTH(LoanStartDate,ROW(PaymentSchedule[[#This Row],[PMT NO]])-ROW(PaymentSchedule[[#Headers],[PMT NO]])-2)+DAY(LoanStartDate),"")</f>
        <v>51105</v>
      </c>
      <c r="D193" s="6">
        <f>IF(PaymentSchedule[[#This Row],[PMT NO]]&lt;&gt;"",IF(ROW()-ROW(PaymentSchedule[[#Headers],[BEGINNING BALANCE]])=1,LoanAmount,INDEX(PaymentSchedule[ENDING BALANCE],ROW()-ROW(PaymentSchedule[[#Headers],[BEGINNING BALANCE]])-1)),"")</f>
        <v>104081.90908903738</v>
      </c>
      <c r="E193" s="6">
        <f>IF(PaymentSchedule[[#This Row],[PMT NO]]&lt;&gt;"",ScheduledPayment,"")</f>
        <v>839.37073521385321</v>
      </c>
      <c r="F193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193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193" s="6">
        <f>IF(PaymentSchedule[[#This Row],[PMT NO]]&lt;&gt;"",PaymentSchedule[[#This Row],[TOTAL PAYMENT]]-PaymentSchedule[[#This Row],[INTEREST]],"")</f>
        <v>318.96118976866626</v>
      </c>
      <c r="I193" s="6">
        <f>IF(PaymentSchedule[[#This Row],[PMT NO]]&lt;&gt;"",PaymentSchedule[[#This Row],[BEGINNING BALANCE]]*(InterestRate/PaymentsPerYear),"")</f>
        <v>520.40954544518695</v>
      </c>
      <c r="J193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103762.94789926871</v>
      </c>
      <c r="K193" s="6">
        <f>IF(PaymentSchedule[[#This Row],[PMT NO]]&lt;&gt;"",SUM(INDEX(PaymentSchedule[INTEREST],1,1):PaymentSchedule[[#This Row],[INTEREST]]),"")</f>
        <v>103937.86067998224</v>
      </c>
    </row>
    <row r="194" spans="2:11" x14ac:dyDescent="0.2">
      <c r="B194" s="4">
        <f>IF(LoanIsGood,IF(ROW()-ROW(PaymentSchedule[[#Headers],[PMT NO]])&gt;ScheduledNumberOfPayments,"",ROW()-ROW(PaymentSchedule[[#Headers],[PMT NO]])),"")</f>
        <v>168</v>
      </c>
      <c r="C194" s="5">
        <f>IF(PaymentSchedule[[#This Row],[PMT NO]]&lt;&gt;"",EOMONTH(LoanStartDate,ROW(PaymentSchedule[[#This Row],[PMT NO]])-ROW(PaymentSchedule[[#Headers],[PMT NO]])-2)+DAY(LoanStartDate),"")</f>
        <v>51136</v>
      </c>
      <c r="D194" s="6">
        <f>IF(PaymentSchedule[[#This Row],[PMT NO]]&lt;&gt;"",IF(ROW()-ROW(PaymentSchedule[[#Headers],[BEGINNING BALANCE]])=1,LoanAmount,INDEX(PaymentSchedule[ENDING BALANCE],ROW()-ROW(PaymentSchedule[[#Headers],[BEGINNING BALANCE]])-1)),"")</f>
        <v>103762.94789926871</v>
      </c>
      <c r="E194" s="6">
        <f>IF(PaymentSchedule[[#This Row],[PMT NO]]&lt;&gt;"",ScheduledPayment,"")</f>
        <v>839.37073521385321</v>
      </c>
      <c r="F194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194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194" s="6">
        <f>IF(PaymentSchedule[[#This Row],[PMT NO]]&lt;&gt;"",PaymentSchedule[[#This Row],[TOTAL PAYMENT]]-PaymentSchedule[[#This Row],[INTEREST]],"")</f>
        <v>320.55599571750963</v>
      </c>
      <c r="I194" s="6">
        <f>IF(PaymentSchedule[[#This Row],[PMT NO]]&lt;&gt;"",PaymentSchedule[[#This Row],[BEGINNING BALANCE]]*(InterestRate/PaymentsPerYear),"")</f>
        <v>518.81473949634358</v>
      </c>
      <c r="J194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103442.39190355119</v>
      </c>
      <c r="K194" s="6">
        <f>IF(PaymentSchedule[[#This Row],[PMT NO]]&lt;&gt;"",SUM(INDEX(PaymentSchedule[INTEREST],1,1):PaymentSchedule[[#This Row],[INTEREST]]),"")</f>
        <v>104456.67541947859</v>
      </c>
    </row>
    <row r="195" spans="2:11" x14ac:dyDescent="0.2">
      <c r="B195" s="4">
        <f>IF(LoanIsGood,IF(ROW()-ROW(PaymentSchedule[[#Headers],[PMT NO]])&gt;ScheduledNumberOfPayments,"",ROW()-ROW(PaymentSchedule[[#Headers],[PMT NO]])),"")</f>
        <v>169</v>
      </c>
      <c r="C195" s="5">
        <f>IF(PaymentSchedule[[#This Row],[PMT NO]]&lt;&gt;"",EOMONTH(LoanStartDate,ROW(PaymentSchedule[[#This Row],[PMT NO]])-ROW(PaymentSchedule[[#Headers],[PMT NO]])-2)+DAY(LoanStartDate),"")</f>
        <v>51167</v>
      </c>
      <c r="D195" s="6">
        <f>IF(PaymentSchedule[[#This Row],[PMT NO]]&lt;&gt;"",IF(ROW()-ROW(PaymentSchedule[[#Headers],[BEGINNING BALANCE]])=1,LoanAmount,INDEX(PaymentSchedule[ENDING BALANCE],ROW()-ROW(PaymentSchedule[[#Headers],[BEGINNING BALANCE]])-1)),"")</f>
        <v>103442.39190355119</v>
      </c>
      <c r="E195" s="6">
        <f>IF(PaymentSchedule[[#This Row],[PMT NO]]&lt;&gt;"",ScheduledPayment,"")</f>
        <v>839.37073521385321</v>
      </c>
      <c r="F195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195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195" s="6">
        <f>IF(PaymentSchedule[[#This Row],[PMT NO]]&lt;&gt;"",PaymentSchedule[[#This Row],[TOTAL PAYMENT]]-PaymentSchedule[[#This Row],[INTEREST]],"")</f>
        <v>322.15877569609722</v>
      </c>
      <c r="I195" s="6">
        <f>IF(PaymentSchedule[[#This Row],[PMT NO]]&lt;&gt;"",PaymentSchedule[[#This Row],[BEGINNING BALANCE]]*(InterestRate/PaymentsPerYear),"")</f>
        <v>517.21195951775599</v>
      </c>
      <c r="J195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103120.2331278551</v>
      </c>
      <c r="K195" s="6">
        <f>IF(PaymentSchedule[[#This Row],[PMT NO]]&lt;&gt;"",SUM(INDEX(PaymentSchedule[INTEREST],1,1):PaymentSchedule[[#This Row],[INTEREST]]),"")</f>
        <v>104973.88737899634</v>
      </c>
    </row>
    <row r="196" spans="2:11" x14ac:dyDescent="0.2">
      <c r="B196" s="4">
        <f>IF(LoanIsGood,IF(ROW()-ROW(PaymentSchedule[[#Headers],[PMT NO]])&gt;ScheduledNumberOfPayments,"",ROW()-ROW(PaymentSchedule[[#Headers],[PMT NO]])),"")</f>
        <v>170</v>
      </c>
      <c r="C196" s="5">
        <f>IF(PaymentSchedule[[#This Row],[PMT NO]]&lt;&gt;"",EOMONTH(LoanStartDate,ROW(PaymentSchedule[[#This Row],[PMT NO]])-ROW(PaymentSchedule[[#Headers],[PMT NO]])-2)+DAY(LoanStartDate),"")</f>
        <v>51196</v>
      </c>
      <c r="D196" s="6">
        <f>IF(PaymentSchedule[[#This Row],[PMT NO]]&lt;&gt;"",IF(ROW()-ROW(PaymentSchedule[[#Headers],[BEGINNING BALANCE]])=1,LoanAmount,INDEX(PaymentSchedule[ENDING BALANCE],ROW()-ROW(PaymentSchedule[[#Headers],[BEGINNING BALANCE]])-1)),"")</f>
        <v>103120.2331278551</v>
      </c>
      <c r="E196" s="6">
        <f>IF(PaymentSchedule[[#This Row],[PMT NO]]&lt;&gt;"",ScheduledPayment,"")</f>
        <v>839.37073521385321</v>
      </c>
      <c r="F196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196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196" s="6">
        <f>IF(PaymentSchedule[[#This Row],[PMT NO]]&lt;&gt;"",PaymentSchedule[[#This Row],[TOTAL PAYMENT]]-PaymentSchedule[[#This Row],[INTEREST]],"")</f>
        <v>323.76956957457776</v>
      </c>
      <c r="I196" s="6">
        <f>IF(PaymentSchedule[[#This Row],[PMT NO]]&lt;&gt;"",PaymentSchedule[[#This Row],[BEGINNING BALANCE]]*(InterestRate/PaymentsPerYear),"")</f>
        <v>515.60116563927545</v>
      </c>
      <c r="J196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102796.46355828052</v>
      </c>
      <c r="K196" s="6">
        <f>IF(PaymentSchedule[[#This Row],[PMT NO]]&lt;&gt;"",SUM(INDEX(PaymentSchedule[INTEREST],1,1):PaymentSchedule[[#This Row],[INTEREST]]),"")</f>
        <v>105489.48854463562</v>
      </c>
    </row>
    <row r="197" spans="2:11" x14ac:dyDescent="0.2">
      <c r="B197" s="4">
        <f>IF(LoanIsGood,IF(ROW()-ROW(PaymentSchedule[[#Headers],[PMT NO]])&gt;ScheduledNumberOfPayments,"",ROW()-ROW(PaymentSchedule[[#Headers],[PMT NO]])),"")</f>
        <v>171</v>
      </c>
      <c r="C197" s="5">
        <f>IF(PaymentSchedule[[#This Row],[PMT NO]]&lt;&gt;"",EOMONTH(LoanStartDate,ROW(PaymentSchedule[[#This Row],[PMT NO]])-ROW(PaymentSchedule[[#Headers],[PMT NO]])-2)+DAY(LoanStartDate),"")</f>
        <v>51227</v>
      </c>
      <c r="D197" s="6">
        <f>IF(PaymentSchedule[[#This Row],[PMT NO]]&lt;&gt;"",IF(ROW()-ROW(PaymentSchedule[[#Headers],[BEGINNING BALANCE]])=1,LoanAmount,INDEX(PaymentSchedule[ENDING BALANCE],ROW()-ROW(PaymentSchedule[[#Headers],[BEGINNING BALANCE]])-1)),"")</f>
        <v>102796.46355828052</v>
      </c>
      <c r="E197" s="6">
        <f>IF(PaymentSchedule[[#This Row],[PMT NO]]&lt;&gt;"",ScheduledPayment,"")</f>
        <v>839.37073521385321</v>
      </c>
      <c r="F197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197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197" s="6">
        <f>IF(PaymentSchedule[[#This Row],[PMT NO]]&lt;&gt;"",PaymentSchedule[[#This Row],[TOTAL PAYMENT]]-PaymentSchedule[[#This Row],[INTEREST]],"")</f>
        <v>325.38841742245063</v>
      </c>
      <c r="I197" s="6">
        <f>IF(PaymentSchedule[[#This Row],[PMT NO]]&lt;&gt;"",PaymentSchedule[[#This Row],[BEGINNING BALANCE]]*(InterestRate/PaymentsPerYear),"")</f>
        <v>513.98231779140258</v>
      </c>
      <c r="J197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102471.07514085807</v>
      </c>
      <c r="K197" s="6">
        <f>IF(PaymentSchedule[[#This Row],[PMT NO]]&lt;&gt;"",SUM(INDEX(PaymentSchedule[INTEREST],1,1):PaymentSchedule[[#This Row],[INTEREST]]),"")</f>
        <v>106003.47086242703</v>
      </c>
    </row>
    <row r="198" spans="2:11" x14ac:dyDescent="0.2">
      <c r="B198" s="4">
        <f>IF(LoanIsGood,IF(ROW()-ROW(PaymentSchedule[[#Headers],[PMT NO]])&gt;ScheduledNumberOfPayments,"",ROW()-ROW(PaymentSchedule[[#Headers],[PMT NO]])),"")</f>
        <v>172</v>
      </c>
      <c r="C198" s="5">
        <f>IF(PaymentSchedule[[#This Row],[PMT NO]]&lt;&gt;"",EOMONTH(LoanStartDate,ROW(PaymentSchedule[[#This Row],[PMT NO]])-ROW(PaymentSchedule[[#Headers],[PMT NO]])-2)+DAY(LoanStartDate),"")</f>
        <v>51257</v>
      </c>
      <c r="D198" s="6">
        <f>IF(PaymentSchedule[[#This Row],[PMT NO]]&lt;&gt;"",IF(ROW()-ROW(PaymentSchedule[[#Headers],[BEGINNING BALANCE]])=1,LoanAmount,INDEX(PaymentSchedule[ENDING BALANCE],ROW()-ROW(PaymentSchedule[[#Headers],[BEGINNING BALANCE]])-1)),"")</f>
        <v>102471.07514085807</v>
      </c>
      <c r="E198" s="6">
        <f>IF(PaymentSchedule[[#This Row],[PMT NO]]&lt;&gt;"",ScheduledPayment,"")</f>
        <v>839.37073521385321</v>
      </c>
      <c r="F198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198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198" s="6">
        <f>IF(PaymentSchedule[[#This Row],[PMT NO]]&lt;&gt;"",PaymentSchedule[[#This Row],[TOTAL PAYMENT]]-PaymentSchedule[[#This Row],[INTEREST]],"")</f>
        <v>327.01535950956281</v>
      </c>
      <c r="I198" s="6">
        <f>IF(PaymentSchedule[[#This Row],[PMT NO]]&lt;&gt;"",PaymentSchedule[[#This Row],[BEGINNING BALANCE]]*(InterestRate/PaymentsPerYear),"")</f>
        <v>512.3553757042904</v>
      </c>
      <c r="J198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102144.05978134851</v>
      </c>
      <c r="K198" s="6">
        <f>IF(PaymentSchedule[[#This Row],[PMT NO]]&lt;&gt;"",SUM(INDEX(PaymentSchedule[INTEREST],1,1):PaymentSchedule[[#This Row],[INTEREST]]),"")</f>
        <v>106515.82623813133</v>
      </c>
    </row>
    <row r="199" spans="2:11" x14ac:dyDescent="0.2">
      <c r="B199" s="4">
        <f>IF(LoanIsGood,IF(ROW()-ROW(PaymentSchedule[[#Headers],[PMT NO]])&gt;ScheduledNumberOfPayments,"",ROW()-ROW(PaymentSchedule[[#Headers],[PMT NO]])),"")</f>
        <v>173</v>
      </c>
      <c r="C199" s="5">
        <f>IF(PaymentSchedule[[#This Row],[PMT NO]]&lt;&gt;"",EOMONTH(LoanStartDate,ROW(PaymentSchedule[[#This Row],[PMT NO]])-ROW(PaymentSchedule[[#Headers],[PMT NO]])-2)+DAY(LoanStartDate),"")</f>
        <v>51288</v>
      </c>
      <c r="D199" s="6">
        <f>IF(PaymentSchedule[[#This Row],[PMT NO]]&lt;&gt;"",IF(ROW()-ROW(PaymentSchedule[[#Headers],[BEGINNING BALANCE]])=1,LoanAmount,INDEX(PaymentSchedule[ENDING BALANCE],ROW()-ROW(PaymentSchedule[[#Headers],[BEGINNING BALANCE]])-1)),"")</f>
        <v>102144.05978134851</v>
      </c>
      <c r="E199" s="6">
        <f>IF(PaymentSchedule[[#This Row],[PMT NO]]&lt;&gt;"",ScheduledPayment,"")</f>
        <v>839.37073521385321</v>
      </c>
      <c r="F199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199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199" s="6">
        <f>IF(PaymentSchedule[[#This Row],[PMT NO]]&lt;&gt;"",PaymentSchedule[[#This Row],[TOTAL PAYMENT]]-PaymentSchedule[[#This Row],[INTEREST]],"")</f>
        <v>328.65043630711068</v>
      </c>
      <c r="I199" s="6">
        <f>IF(PaymentSchedule[[#This Row],[PMT NO]]&lt;&gt;"",PaymentSchedule[[#This Row],[BEGINNING BALANCE]]*(InterestRate/PaymentsPerYear),"")</f>
        <v>510.72029890674253</v>
      </c>
      <c r="J199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101815.40934504139</v>
      </c>
      <c r="K199" s="6">
        <f>IF(PaymentSchedule[[#This Row],[PMT NO]]&lt;&gt;"",SUM(INDEX(PaymentSchedule[INTEREST],1,1):PaymentSchedule[[#This Row],[INTEREST]]),"")</f>
        <v>107026.54653703807</v>
      </c>
    </row>
    <row r="200" spans="2:11" x14ac:dyDescent="0.2">
      <c r="B200" s="4">
        <f>IF(LoanIsGood,IF(ROW()-ROW(PaymentSchedule[[#Headers],[PMT NO]])&gt;ScheduledNumberOfPayments,"",ROW()-ROW(PaymentSchedule[[#Headers],[PMT NO]])),"")</f>
        <v>174</v>
      </c>
      <c r="C200" s="5">
        <f>IF(PaymentSchedule[[#This Row],[PMT NO]]&lt;&gt;"",EOMONTH(LoanStartDate,ROW(PaymentSchedule[[#This Row],[PMT NO]])-ROW(PaymentSchedule[[#Headers],[PMT NO]])-2)+DAY(LoanStartDate),"")</f>
        <v>51318</v>
      </c>
      <c r="D200" s="6">
        <f>IF(PaymentSchedule[[#This Row],[PMT NO]]&lt;&gt;"",IF(ROW()-ROW(PaymentSchedule[[#Headers],[BEGINNING BALANCE]])=1,LoanAmount,INDEX(PaymentSchedule[ENDING BALANCE],ROW()-ROW(PaymentSchedule[[#Headers],[BEGINNING BALANCE]])-1)),"")</f>
        <v>101815.40934504139</v>
      </c>
      <c r="E200" s="6">
        <f>IF(PaymentSchedule[[#This Row],[PMT NO]]&lt;&gt;"",ScheduledPayment,"")</f>
        <v>839.37073521385321</v>
      </c>
      <c r="F200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200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200" s="6">
        <f>IF(PaymentSchedule[[#This Row],[PMT NO]]&lt;&gt;"",PaymentSchedule[[#This Row],[TOTAL PAYMENT]]-PaymentSchedule[[#This Row],[INTEREST]],"")</f>
        <v>330.29368848864624</v>
      </c>
      <c r="I200" s="6">
        <f>IF(PaymentSchedule[[#This Row],[PMT NO]]&lt;&gt;"",PaymentSchedule[[#This Row],[BEGINNING BALANCE]]*(InterestRate/PaymentsPerYear),"")</f>
        <v>509.07704672520697</v>
      </c>
      <c r="J200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101485.11565655275</v>
      </c>
      <c r="K200" s="6">
        <f>IF(PaymentSchedule[[#This Row],[PMT NO]]&lt;&gt;"",SUM(INDEX(PaymentSchedule[INTEREST],1,1):PaymentSchedule[[#This Row],[INTEREST]]),"")</f>
        <v>107535.62358376327</v>
      </c>
    </row>
    <row r="201" spans="2:11" x14ac:dyDescent="0.2">
      <c r="B201" s="4">
        <f>IF(LoanIsGood,IF(ROW()-ROW(PaymentSchedule[[#Headers],[PMT NO]])&gt;ScheduledNumberOfPayments,"",ROW()-ROW(PaymentSchedule[[#Headers],[PMT NO]])),"")</f>
        <v>175</v>
      </c>
      <c r="C201" s="5">
        <f>IF(PaymentSchedule[[#This Row],[PMT NO]]&lt;&gt;"",EOMONTH(LoanStartDate,ROW(PaymentSchedule[[#This Row],[PMT NO]])-ROW(PaymentSchedule[[#Headers],[PMT NO]])-2)+DAY(LoanStartDate),"")</f>
        <v>51349</v>
      </c>
      <c r="D201" s="6">
        <f>IF(PaymentSchedule[[#This Row],[PMT NO]]&lt;&gt;"",IF(ROW()-ROW(PaymentSchedule[[#Headers],[BEGINNING BALANCE]])=1,LoanAmount,INDEX(PaymentSchedule[ENDING BALANCE],ROW()-ROW(PaymentSchedule[[#Headers],[BEGINNING BALANCE]])-1)),"")</f>
        <v>101485.11565655275</v>
      </c>
      <c r="E201" s="6">
        <f>IF(PaymentSchedule[[#This Row],[PMT NO]]&lt;&gt;"",ScheduledPayment,"")</f>
        <v>839.37073521385321</v>
      </c>
      <c r="F201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201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201" s="6">
        <f>IF(PaymentSchedule[[#This Row],[PMT NO]]&lt;&gt;"",PaymentSchedule[[#This Row],[TOTAL PAYMENT]]-PaymentSchedule[[#This Row],[INTEREST]],"")</f>
        <v>331.94515693108946</v>
      </c>
      <c r="I201" s="6">
        <f>IF(PaymentSchedule[[#This Row],[PMT NO]]&lt;&gt;"",PaymentSchedule[[#This Row],[BEGINNING BALANCE]]*(InterestRate/PaymentsPerYear),"")</f>
        <v>507.42557828276375</v>
      </c>
      <c r="J201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101153.17049962166</v>
      </c>
      <c r="K201" s="6">
        <f>IF(PaymentSchedule[[#This Row],[PMT NO]]&lt;&gt;"",SUM(INDEX(PaymentSchedule[INTEREST],1,1):PaymentSchedule[[#This Row],[INTEREST]]),"")</f>
        <v>108043.04916204604</v>
      </c>
    </row>
    <row r="202" spans="2:11" x14ac:dyDescent="0.2">
      <c r="B202" s="4">
        <f>IF(LoanIsGood,IF(ROW()-ROW(PaymentSchedule[[#Headers],[PMT NO]])&gt;ScheduledNumberOfPayments,"",ROW()-ROW(PaymentSchedule[[#Headers],[PMT NO]])),"")</f>
        <v>176</v>
      </c>
      <c r="C202" s="5">
        <f>IF(PaymentSchedule[[#This Row],[PMT NO]]&lt;&gt;"",EOMONTH(LoanStartDate,ROW(PaymentSchedule[[#This Row],[PMT NO]])-ROW(PaymentSchedule[[#Headers],[PMT NO]])-2)+DAY(LoanStartDate),"")</f>
        <v>51380</v>
      </c>
      <c r="D202" s="6">
        <f>IF(PaymentSchedule[[#This Row],[PMT NO]]&lt;&gt;"",IF(ROW()-ROW(PaymentSchedule[[#Headers],[BEGINNING BALANCE]])=1,LoanAmount,INDEX(PaymentSchedule[ENDING BALANCE],ROW()-ROW(PaymentSchedule[[#Headers],[BEGINNING BALANCE]])-1)),"")</f>
        <v>101153.17049962166</v>
      </c>
      <c r="E202" s="6">
        <f>IF(PaymentSchedule[[#This Row],[PMT NO]]&lt;&gt;"",ScheduledPayment,"")</f>
        <v>839.37073521385321</v>
      </c>
      <c r="F202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202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202" s="6">
        <f>IF(PaymentSchedule[[#This Row],[PMT NO]]&lt;&gt;"",PaymentSchedule[[#This Row],[TOTAL PAYMENT]]-PaymentSchedule[[#This Row],[INTEREST]],"")</f>
        <v>333.60488271574491</v>
      </c>
      <c r="I202" s="6">
        <f>IF(PaymentSchedule[[#This Row],[PMT NO]]&lt;&gt;"",PaymentSchedule[[#This Row],[BEGINNING BALANCE]]*(InterestRate/PaymentsPerYear),"")</f>
        <v>505.7658524981083</v>
      </c>
      <c r="J202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100819.56561690591</v>
      </c>
      <c r="K202" s="6">
        <f>IF(PaymentSchedule[[#This Row],[PMT NO]]&lt;&gt;"",SUM(INDEX(PaymentSchedule[INTEREST],1,1):PaymentSchedule[[#This Row],[INTEREST]]),"")</f>
        <v>108548.81501454415</v>
      </c>
    </row>
    <row r="203" spans="2:11" x14ac:dyDescent="0.2">
      <c r="B203" s="4">
        <f>IF(LoanIsGood,IF(ROW()-ROW(PaymentSchedule[[#Headers],[PMT NO]])&gt;ScheduledNumberOfPayments,"",ROW()-ROW(PaymentSchedule[[#Headers],[PMT NO]])),"")</f>
        <v>177</v>
      </c>
      <c r="C203" s="5">
        <f>IF(PaymentSchedule[[#This Row],[PMT NO]]&lt;&gt;"",EOMONTH(LoanStartDate,ROW(PaymentSchedule[[#This Row],[PMT NO]])-ROW(PaymentSchedule[[#Headers],[PMT NO]])-2)+DAY(LoanStartDate),"")</f>
        <v>51410</v>
      </c>
      <c r="D203" s="6">
        <f>IF(PaymentSchedule[[#This Row],[PMT NO]]&lt;&gt;"",IF(ROW()-ROW(PaymentSchedule[[#Headers],[BEGINNING BALANCE]])=1,LoanAmount,INDEX(PaymentSchedule[ENDING BALANCE],ROW()-ROW(PaymentSchedule[[#Headers],[BEGINNING BALANCE]])-1)),"")</f>
        <v>100819.56561690591</v>
      </c>
      <c r="E203" s="6">
        <f>IF(PaymentSchedule[[#This Row],[PMT NO]]&lt;&gt;"",ScheduledPayment,"")</f>
        <v>839.37073521385321</v>
      </c>
      <c r="F203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203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203" s="6">
        <f>IF(PaymentSchedule[[#This Row],[PMT NO]]&lt;&gt;"",PaymentSchedule[[#This Row],[TOTAL PAYMENT]]-PaymentSchedule[[#This Row],[INTEREST]],"")</f>
        <v>335.27290712932364</v>
      </c>
      <c r="I203" s="6">
        <f>IF(PaymentSchedule[[#This Row],[PMT NO]]&lt;&gt;"",PaymentSchedule[[#This Row],[BEGINNING BALANCE]]*(InterestRate/PaymentsPerYear),"")</f>
        <v>504.09782808452957</v>
      </c>
      <c r="J203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100484.29270977658</v>
      </c>
      <c r="K203" s="6">
        <f>IF(PaymentSchedule[[#This Row],[PMT NO]]&lt;&gt;"",SUM(INDEX(PaymentSchedule[INTEREST],1,1):PaymentSchedule[[#This Row],[INTEREST]]),"")</f>
        <v>109052.91284262868</v>
      </c>
    </row>
    <row r="204" spans="2:11" x14ac:dyDescent="0.2">
      <c r="B204" s="4">
        <f>IF(LoanIsGood,IF(ROW()-ROW(PaymentSchedule[[#Headers],[PMT NO]])&gt;ScheduledNumberOfPayments,"",ROW()-ROW(PaymentSchedule[[#Headers],[PMT NO]])),"")</f>
        <v>178</v>
      </c>
      <c r="C204" s="5">
        <f>IF(PaymentSchedule[[#This Row],[PMT NO]]&lt;&gt;"",EOMONTH(LoanStartDate,ROW(PaymentSchedule[[#This Row],[PMT NO]])-ROW(PaymentSchedule[[#Headers],[PMT NO]])-2)+DAY(LoanStartDate),"")</f>
        <v>51441</v>
      </c>
      <c r="D204" s="6">
        <f>IF(PaymentSchedule[[#This Row],[PMT NO]]&lt;&gt;"",IF(ROW()-ROW(PaymentSchedule[[#Headers],[BEGINNING BALANCE]])=1,LoanAmount,INDEX(PaymentSchedule[ENDING BALANCE],ROW()-ROW(PaymentSchedule[[#Headers],[BEGINNING BALANCE]])-1)),"")</f>
        <v>100484.29270977658</v>
      </c>
      <c r="E204" s="6">
        <f>IF(PaymentSchedule[[#This Row],[PMT NO]]&lt;&gt;"",ScheduledPayment,"")</f>
        <v>839.37073521385321</v>
      </c>
      <c r="F204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204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204" s="6">
        <f>IF(PaymentSchedule[[#This Row],[PMT NO]]&lt;&gt;"",PaymentSchedule[[#This Row],[TOTAL PAYMENT]]-PaymentSchedule[[#This Row],[INTEREST]],"")</f>
        <v>336.9492716649703</v>
      </c>
      <c r="I204" s="6">
        <f>IF(PaymentSchedule[[#This Row],[PMT NO]]&lt;&gt;"",PaymentSchedule[[#This Row],[BEGINNING BALANCE]]*(InterestRate/PaymentsPerYear),"")</f>
        <v>502.42146354888291</v>
      </c>
      <c r="J204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100147.34343811161</v>
      </c>
      <c r="K204" s="6">
        <f>IF(PaymentSchedule[[#This Row],[PMT NO]]&lt;&gt;"",SUM(INDEX(PaymentSchedule[INTEREST],1,1):PaymentSchedule[[#This Row],[INTEREST]]),"")</f>
        <v>109555.33430617757</v>
      </c>
    </row>
    <row r="205" spans="2:11" x14ac:dyDescent="0.2">
      <c r="B205" s="4">
        <f>IF(LoanIsGood,IF(ROW()-ROW(PaymentSchedule[[#Headers],[PMT NO]])&gt;ScheduledNumberOfPayments,"",ROW()-ROW(PaymentSchedule[[#Headers],[PMT NO]])),"")</f>
        <v>179</v>
      </c>
      <c r="C205" s="5">
        <f>IF(PaymentSchedule[[#This Row],[PMT NO]]&lt;&gt;"",EOMONTH(LoanStartDate,ROW(PaymentSchedule[[#This Row],[PMT NO]])-ROW(PaymentSchedule[[#Headers],[PMT NO]])-2)+DAY(LoanStartDate),"")</f>
        <v>51471</v>
      </c>
      <c r="D205" s="6">
        <f>IF(PaymentSchedule[[#This Row],[PMT NO]]&lt;&gt;"",IF(ROW()-ROW(PaymentSchedule[[#Headers],[BEGINNING BALANCE]])=1,LoanAmount,INDEX(PaymentSchedule[ENDING BALANCE],ROW()-ROW(PaymentSchedule[[#Headers],[BEGINNING BALANCE]])-1)),"")</f>
        <v>100147.34343811161</v>
      </c>
      <c r="E205" s="6">
        <f>IF(PaymentSchedule[[#This Row],[PMT NO]]&lt;&gt;"",ScheduledPayment,"")</f>
        <v>839.37073521385321</v>
      </c>
      <c r="F205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205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205" s="6">
        <f>IF(PaymentSchedule[[#This Row],[PMT NO]]&lt;&gt;"",PaymentSchedule[[#This Row],[TOTAL PAYMENT]]-PaymentSchedule[[#This Row],[INTEREST]],"")</f>
        <v>338.63401802329514</v>
      </c>
      <c r="I205" s="6">
        <f>IF(PaymentSchedule[[#This Row],[PMT NO]]&lt;&gt;"",PaymentSchedule[[#This Row],[BEGINNING BALANCE]]*(InterestRate/PaymentsPerYear),"")</f>
        <v>500.73671719055807</v>
      </c>
      <c r="J205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99808.709420088315</v>
      </c>
      <c r="K205" s="6">
        <f>IF(PaymentSchedule[[#This Row],[PMT NO]]&lt;&gt;"",SUM(INDEX(PaymentSchedule[INTEREST],1,1):PaymentSchedule[[#This Row],[INTEREST]]),"")</f>
        <v>110056.07102336813</v>
      </c>
    </row>
    <row r="206" spans="2:11" x14ac:dyDescent="0.2">
      <c r="B206" s="4">
        <f>IF(LoanIsGood,IF(ROW()-ROW(PaymentSchedule[[#Headers],[PMT NO]])&gt;ScheduledNumberOfPayments,"",ROW()-ROW(PaymentSchedule[[#Headers],[PMT NO]])),"")</f>
        <v>180</v>
      </c>
      <c r="C206" s="5">
        <f>IF(PaymentSchedule[[#This Row],[PMT NO]]&lt;&gt;"",EOMONTH(LoanStartDate,ROW(PaymentSchedule[[#This Row],[PMT NO]])-ROW(PaymentSchedule[[#Headers],[PMT NO]])-2)+DAY(LoanStartDate),"")</f>
        <v>51502</v>
      </c>
      <c r="D206" s="6">
        <f>IF(PaymentSchedule[[#This Row],[PMT NO]]&lt;&gt;"",IF(ROW()-ROW(PaymentSchedule[[#Headers],[BEGINNING BALANCE]])=1,LoanAmount,INDEX(PaymentSchedule[ENDING BALANCE],ROW()-ROW(PaymentSchedule[[#Headers],[BEGINNING BALANCE]])-1)),"")</f>
        <v>99808.709420088315</v>
      </c>
      <c r="E206" s="6">
        <f>IF(PaymentSchedule[[#This Row],[PMT NO]]&lt;&gt;"",ScheduledPayment,"")</f>
        <v>839.37073521385321</v>
      </c>
      <c r="F206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206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206" s="6">
        <f>IF(PaymentSchedule[[#This Row],[PMT NO]]&lt;&gt;"",PaymentSchedule[[#This Row],[TOTAL PAYMENT]]-PaymentSchedule[[#This Row],[INTEREST]],"")</f>
        <v>340.32718811341164</v>
      </c>
      <c r="I206" s="6">
        <f>IF(PaymentSchedule[[#This Row],[PMT NO]]&lt;&gt;"",PaymentSchedule[[#This Row],[BEGINNING BALANCE]]*(InterestRate/PaymentsPerYear),"")</f>
        <v>499.04354710044157</v>
      </c>
      <c r="J206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99468.382231974902</v>
      </c>
      <c r="K206" s="6">
        <f>IF(PaymentSchedule[[#This Row],[PMT NO]]&lt;&gt;"",SUM(INDEX(PaymentSchedule[INTEREST],1,1):PaymentSchedule[[#This Row],[INTEREST]]),"")</f>
        <v>110555.11457046858</v>
      </c>
    </row>
    <row r="207" spans="2:11" x14ac:dyDescent="0.2">
      <c r="B207" s="4">
        <f>IF(LoanIsGood,IF(ROW()-ROW(PaymentSchedule[[#Headers],[PMT NO]])&gt;ScheduledNumberOfPayments,"",ROW()-ROW(PaymentSchedule[[#Headers],[PMT NO]])),"")</f>
        <v>181</v>
      </c>
      <c r="C207" s="5">
        <f>IF(PaymentSchedule[[#This Row],[PMT NO]]&lt;&gt;"",EOMONTH(LoanStartDate,ROW(PaymentSchedule[[#This Row],[PMT NO]])-ROW(PaymentSchedule[[#Headers],[PMT NO]])-2)+DAY(LoanStartDate),"")</f>
        <v>51533</v>
      </c>
      <c r="D207" s="6">
        <f>IF(PaymentSchedule[[#This Row],[PMT NO]]&lt;&gt;"",IF(ROW()-ROW(PaymentSchedule[[#Headers],[BEGINNING BALANCE]])=1,LoanAmount,INDEX(PaymentSchedule[ENDING BALANCE],ROW()-ROW(PaymentSchedule[[#Headers],[BEGINNING BALANCE]])-1)),"")</f>
        <v>99468.382231974902</v>
      </c>
      <c r="E207" s="6">
        <f>IF(PaymentSchedule[[#This Row],[PMT NO]]&lt;&gt;"",ScheduledPayment,"")</f>
        <v>839.37073521385321</v>
      </c>
      <c r="F207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207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207" s="6">
        <f>IF(PaymentSchedule[[#This Row],[PMT NO]]&lt;&gt;"",PaymentSchedule[[#This Row],[TOTAL PAYMENT]]-PaymentSchedule[[#This Row],[INTEREST]],"")</f>
        <v>342.02882405397867</v>
      </c>
      <c r="I207" s="6">
        <f>IF(PaymentSchedule[[#This Row],[PMT NO]]&lt;&gt;"",PaymentSchedule[[#This Row],[BEGINNING BALANCE]]*(InterestRate/PaymentsPerYear),"")</f>
        <v>497.34191115987454</v>
      </c>
      <c r="J207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99126.35340792092</v>
      </c>
      <c r="K207" s="6">
        <f>IF(PaymentSchedule[[#This Row],[PMT NO]]&lt;&gt;"",SUM(INDEX(PaymentSchedule[INTEREST],1,1):PaymentSchedule[[#This Row],[INTEREST]]),"")</f>
        <v>111052.45648162845</v>
      </c>
    </row>
    <row r="208" spans="2:11" x14ac:dyDescent="0.2">
      <c r="B208" s="4">
        <f>IF(LoanIsGood,IF(ROW()-ROW(PaymentSchedule[[#Headers],[PMT NO]])&gt;ScheduledNumberOfPayments,"",ROW()-ROW(PaymentSchedule[[#Headers],[PMT NO]])),"")</f>
        <v>182</v>
      </c>
      <c r="C208" s="5">
        <f>IF(PaymentSchedule[[#This Row],[PMT NO]]&lt;&gt;"",EOMONTH(LoanStartDate,ROW(PaymentSchedule[[#This Row],[PMT NO]])-ROW(PaymentSchedule[[#Headers],[PMT NO]])-2)+DAY(LoanStartDate),"")</f>
        <v>51561</v>
      </c>
      <c r="D208" s="6">
        <f>IF(PaymentSchedule[[#This Row],[PMT NO]]&lt;&gt;"",IF(ROW()-ROW(PaymentSchedule[[#Headers],[BEGINNING BALANCE]])=1,LoanAmount,INDEX(PaymentSchedule[ENDING BALANCE],ROW()-ROW(PaymentSchedule[[#Headers],[BEGINNING BALANCE]])-1)),"")</f>
        <v>99126.35340792092</v>
      </c>
      <c r="E208" s="6">
        <f>IF(PaymentSchedule[[#This Row],[PMT NO]]&lt;&gt;"",ScheduledPayment,"")</f>
        <v>839.37073521385321</v>
      </c>
      <c r="F208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208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208" s="6">
        <f>IF(PaymentSchedule[[#This Row],[PMT NO]]&lt;&gt;"",PaymentSchedule[[#This Row],[TOTAL PAYMENT]]-PaymentSchedule[[#This Row],[INTEREST]],"")</f>
        <v>343.73896817424861</v>
      </c>
      <c r="I208" s="6">
        <f>IF(PaymentSchedule[[#This Row],[PMT NO]]&lt;&gt;"",PaymentSchedule[[#This Row],[BEGINNING BALANCE]]*(InterestRate/PaymentsPerYear),"")</f>
        <v>495.6317670396046</v>
      </c>
      <c r="J208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98782.614439746671</v>
      </c>
      <c r="K208" s="6">
        <f>IF(PaymentSchedule[[#This Row],[PMT NO]]&lt;&gt;"",SUM(INDEX(PaymentSchedule[INTEREST],1,1):PaymentSchedule[[#This Row],[INTEREST]]),"")</f>
        <v>111548.08824866806</v>
      </c>
    </row>
    <row r="209" spans="2:11" x14ac:dyDescent="0.2">
      <c r="B209" s="4">
        <f>IF(LoanIsGood,IF(ROW()-ROW(PaymentSchedule[[#Headers],[PMT NO]])&gt;ScheduledNumberOfPayments,"",ROW()-ROW(PaymentSchedule[[#Headers],[PMT NO]])),"")</f>
        <v>183</v>
      </c>
      <c r="C209" s="5">
        <f>IF(PaymentSchedule[[#This Row],[PMT NO]]&lt;&gt;"",EOMONTH(LoanStartDate,ROW(PaymentSchedule[[#This Row],[PMT NO]])-ROW(PaymentSchedule[[#Headers],[PMT NO]])-2)+DAY(LoanStartDate),"")</f>
        <v>51592</v>
      </c>
      <c r="D209" s="6">
        <f>IF(PaymentSchedule[[#This Row],[PMT NO]]&lt;&gt;"",IF(ROW()-ROW(PaymentSchedule[[#Headers],[BEGINNING BALANCE]])=1,LoanAmount,INDEX(PaymentSchedule[ENDING BALANCE],ROW()-ROW(PaymentSchedule[[#Headers],[BEGINNING BALANCE]])-1)),"")</f>
        <v>98782.614439746671</v>
      </c>
      <c r="E209" s="6">
        <f>IF(PaymentSchedule[[#This Row],[PMT NO]]&lt;&gt;"",ScheduledPayment,"")</f>
        <v>839.37073521385321</v>
      </c>
      <c r="F209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209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209" s="6">
        <f>IF(PaymentSchedule[[#This Row],[PMT NO]]&lt;&gt;"",PaymentSchedule[[#This Row],[TOTAL PAYMENT]]-PaymentSchedule[[#This Row],[INTEREST]],"")</f>
        <v>345.45766301511986</v>
      </c>
      <c r="I209" s="6">
        <f>IF(PaymentSchedule[[#This Row],[PMT NO]]&lt;&gt;"",PaymentSchedule[[#This Row],[BEGINNING BALANCE]]*(InterestRate/PaymentsPerYear),"")</f>
        <v>493.91307219873335</v>
      </c>
      <c r="J209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98437.156776731557</v>
      </c>
      <c r="K209" s="6">
        <f>IF(PaymentSchedule[[#This Row],[PMT NO]]&lt;&gt;"",SUM(INDEX(PaymentSchedule[INTEREST],1,1):PaymentSchedule[[#This Row],[INTEREST]]),"")</f>
        <v>112042.0013208668</v>
      </c>
    </row>
    <row r="210" spans="2:11" x14ac:dyDescent="0.2">
      <c r="B210" s="4">
        <f>IF(LoanIsGood,IF(ROW()-ROW(PaymentSchedule[[#Headers],[PMT NO]])&gt;ScheduledNumberOfPayments,"",ROW()-ROW(PaymentSchedule[[#Headers],[PMT NO]])),"")</f>
        <v>184</v>
      </c>
      <c r="C210" s="5">
        <f>IF(PaymentSchedule[[#This Row],[PMT NO]]&lt;&gt;"",EOMONTH(LoanStartDate,ROW(PaymentSchedule[[#This Row],[PMT NO]])-ROW(PaymentSchedule[[#Headers],[PMT NO]])-2)+DAY(LoanStartDate),"")</f>
        <v>51622</v>
      </c>
      <c r="D210" s="6">
        <f>IF(PaymentSchedule[[#This Row],[PMT NO]]&lt;&gt;"",IF(ROW()-ROW(PaymentSchedule[[#Headers],[BEGINNING BALANCE]])=1,LoanAmount,INDEX(PaymentSchedule[ENDING BALANCE],ROW()-ROW(PaymentSchedule[[#Headers],[BEGINNING BALANCE]])-1)),"")</f>
        <v>98437.156776731557</v>
      </c>
      <c r="E210" s="6">
        <f>IF(PaymentSchedule[[#This Row],[PMT NO]]&lt;&gt;"",ScheduledPayment,"")</f>
        <v>839.37073521385321</v>
      </c>
      <c r="F210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210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210" s="6">
        <f>IF(PaymentSchedule[[#This Row],[PMT NO]]&lt;&gt;"",PaymentSchedule[[#This Row],[TOTAL PAYMENT]]-PaymentSchedule[[#This Row],[INTEREST]],"")</f>
        <v>347.18495133019542</v>
      </c>
      <c r="I210" s="6">
        <f>IF(PaymentSchedule[[#This Row],[PMT NO]]&lt;&gt;"",PaymentSchedule[[#This Row],[BEGINNING BALANCE]]*(InterestRate/PaymentsPerYear),"")</f>
        <v>492.18578388365779</v>
      </c>
      <c r="J210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98089.971825401357</v>
      </c>
      <c r="K210" s="6">
        <f>IF(PaymentSchedule[[#This Row],[PMT NO]]&lt;&gt;"",SUM(INDEX(PaymentSchedule[INTEREST],1,1):PaymentSchedule[[#This Row],[INTEREST]]),"")</f>
        <v>112534.18710475045</v>
      </c>
    </row>
    <row r="211" spans="2:11" x14ac:dyDescent="0.2">
      <c r="B211" s="4">
        <f>IF(LoanIsGood,IF(ROW()-ROW(PaymentSchedule[[#Headers],[PMT NO]])&gt;ScheduledNumberOfPayments,"",ROW()-ROW(PaymentSchedule[[#Headers],[PMT NO]])),"")</f>
        <v>185</v>
      </c>
      <c r="C211" s="5">
        <f>IF(PaymentSchedule[[#This Row],[PMT NO]]&lt;&gt;"",EOMONTH(LoanStartDate,ROW(PaymentSchedule[[#This Row],[PMT NO]])-ROW(PaymentSchedule[[#Headers],[PMT NO]])-2)+DAY(LoanStartDate),"")</f>
        <v>51653</v>
      </c>
      <c r="D211" s="6">
        <f>IF(PaymentSchedule[[#This Row],[PMT NO]]&lt;&gt;"",IF(ROW()-ROW(PaymentSchedule[[#Headers],[BEGINNING BALANCE]])=1,LoanAmount,INDEX(PaymentSchedule[ENDING BALANCE],ROW()-ROW(PaymentSchedule[[#Headers],[BEGINNING BALANCE]])-1)),"")</f>
        <v>98089.971825401357</v>
      </c>
      <c r="E211" s="6">
        <f>IF(PaymentSchedule[[#This Row],[PMT NO]]&lt;&gt;"",ScheduledPayment,"")</f>
        <v>839.37073521385321</v>
      </c>
      <c r="F211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211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211" s="6">
        <f>IF(PaymentSchedule[[#This Row],[PMT NO]]&lt;&gt;"",PaymentSchedule[[#This Row],[TOTAL PAYMENT]]-PaymentSchedule[[#This Row],[INTEREST]],"")</f>
        <v>348.92087608684642</v>
      </c>
      <c r="I211" s="6">
        <f>IF(PaymentSchedule[[#This Row],[PMT NO]]&lt;&gt;"",PaymentSchedule[[#This Row],[BEGINNING BALANCE]]*(InterestRate/PaymentsPerYear),"")</f>
        <v>490.44985912700679</v>
      </c>
      <c r="J211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97741.050949314507</v>
      </c>
      <c r="K211" s="6">
        <f>IF(PaymentSchedule[[#This Row],[PMT NO]]&lt;&gt;"",SUM(INDEX(PaymentSchedule[INTEREST],1,1):PaymentSchedule[[#This Row],[INTEREST]]),"")</f>
        <v>113024.63696387746</v>
      </c>
    </row>
    <row r="212" spans="2:11" x14ac:dyDescent="0.2">
      <c r="B212" s="4">
        <f>IF(LoanIsGood,IF(ROW()-ROW(PaymentSchedule[[#Headers],[PMT NO]])&gt;ScheduledNumberOfPayments,"",ROW()-ROW(PaymentSchedule[[#Headers],[PMT NO]])),"")</f>
        <v>186</v>
      </c>
      <c r="C212" s="5">
        <f>IF(PaymentSchedule[[#This Row],[PMT NO]]&lt;&gt;"",EOMONTH(LoanStartDate,ROW(PaymentSchedule[[#This Row],[PMT NO]])-ROW(PaymentSchedule[[#Headers],[PMT NO]])-2)+DAY(LoanStartDate),"")</f>
        <v>51683</v>
      </c>
      <c r="D212" s="6">
        <f>IF(PaymentSchedule[[#This Row],[PMT NO]]&lt;&gt;"",IF(ROW()-ROW(PaymentSchedule[[#Headers],[BEGINNING BALANCE]])=1,LoanAmount,INDEX(PaymentSchedule[ENDING BALANCE],ROW()-ROW(PaymentSchedule[[#Headers],[BEGINNING BALANCE]])-1)),"")</f>
        <v>97741.050949314507</v>
      </c>
      <c r="E212" s="6">
        <f>IF(PaymentSchedule[[#This Row],[PMT NO]]&lt;&gt;"",ScheduledPayment,"")</f>
        <v>839.37073521385321</v>
      </c>
      <c r="F212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212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212" s="6">
        <f>IF(PaymentSchedule[[#This Row],[PMT NO]]&lt;&gt;"",PaymentSchedule[[#This Row],[TOTAL PAYMENT]]-PaymentSchedule[[#This Row],[INTEREST]],"")</f>
        <v>350.66548046728064</v>
      </c>
      <c r="I212" s="6">
        <f>IF(PaymentSchedule[[#This Row],[PMT NO]]&lt;&gt;"",PaymentSchedule[[#This Row],[BEGINNING BALANCE]]*(InterestRate/PaymentsPerYear),"")</f>
        <v>488.70525474657256</v>
      </c>
      <c r="J212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97390.38546884722</v>
      </c>
      <c r="K212" s="6">
        <f>IF(PaymentSchedule[[#This Row],[PMT NO]]&lt;&gt;"",SUM(INDEX(PaymentSchedule[INTEREST],1,1):PaymentSchedule[[#This Row],[INTEREST]]),"")</f>
        <v>113513.34221862404</v>
      </c>
    </row>
    <row r="213" spans="2:11" x14ac:dyDescent="0.2">
      <c r="B213" s="4">
        <f>IF(LoanIsGood,IF(ROW()-ROW(PaymentSchedule[[#Headers],[PMT NO]])&gt;ScheduledNumberOfPayments,"",ROW()-ROW(PaymentSchedule[[#Headers],[PMT NO]])),"")</f>
        <v>187</v>
      </c>
      <c r="C213" s="5">
        <f>IF(PaymentSchedule[[#This Row],[PMT NO]]&lt;&gt;"",EOMONTH(LoanStartDate,ROW(PaymentSchedule[[#This Row],[PMT NO]])-ROW(PaymentSchedule[[#Headers],[PMT NO]])-2)+DAY(LoanStartDate),"")</f>
        <v>51714</v>
      </c>
      <c r="D213" s="6">
        <f>IF(PaymentSchedule[[#This Row],[PMT NO]]&lt;&gt;"",IF(ROW()-ROW(PaymentSchedule[[#Headers],[BEGINNING BALANCE]])=1,LoanAmount,INDEX(PaymentSchedule[ENDING BALANCE],ROW()-ROW(PaymentSchedule[[#Headers],[BEGINNING BALANCE]])-1)),"")</f>
        <v>97390.38546884722</v>
      </c>
      <c r="E213" s="6">
        <f>IF(PaymentSchedule[[#This Row],[PMT NO]]&lt;&gt;"",ScheduledPayment,"")</f>
        <v>839.37073521385321</v>
      </c>
      <c r="F213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213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213" s="6">
        <f>IF(PaymentSchedule[[#This Row],[PMT NO]]&lt;&gt;"",PaymentSchedule[[#This Row],[TOTAL PAYMENT]]-PaymentSchedule[[#This Row],[INTEREST]],"")</f>
        <v>352.41880786961713</v>
      </c>
      <c r="I213" s="6">
        <f>IF(PaymentSchedule[[#This Row],[PMT NO]]&lt;&gt;"",PaymentSchedule[[#This Row],[BEGINNING BALANCE]]*(InterestRate/PaymentsPerYear),"")</f>
        <v>486.95192734423608</v>
      </c>
      <c r="J213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97037.966660977603</v>
      </c>
      <c r="K213" s="6">
        <f>IF(PaymentSchedule[[#This Row],[PMT NO]]&lt;&gt;"",SUM(INDEX(PaymentSchedule[INTEREST],1,1):PaymentSchedule[[#This Row],[INTEREST]]),"")</f>
        <v>114000.29414596828</v>
      </c>
    </row>
    <row r="214" spans="2:11" x14ac:dyDescent="0.2">
      <c r="B214" s="4">
        <f>IF(LoanIsGood,IF(ROW()-ROW(PaymentSchedule[[#Headers],[PMT NO]])&gt;ScheduledNumberOfPayments,"",ROW()-ROW(PaymentSchedule[[#Headers],[PMT NO]])),"")</f>
        <v>188</v>
      </c>
      <c r="C214" s="5">
        <f>IF(PaymentSchedule[[#This Row],[PMT NO]]&lt;&gt;"",EOMONTH(LoanStartDate,ROW(PaymentSchedule[[#This Row],[PMT NO]])-ROW(PaymentSchedule[[#Headers],[PMT NO]])-2)+DAY(LoanStartDate),"")</f>
        <v>51745</v>
      </c>
      <c r="D214" s="6">
        <f>IF(PaymentSchedule[[#This Row],[PMT NO]]&lt;&gt;"",IF(ROW()-ROW(PaymentSchedule[[#Headers],[BEGINNING BALANCE]])=1,LoanAmount,INDEX(PaymentSchedule[ENDING BALANCE],ROW()-ROW(PaymentSchedule[[#Headers],[BEGINNING BALANCE]])-1)),"")</f>
        <v>97037.966660977603</v>
      </c>
      <c r="E214" s="6">
        <f>IF(PaymentSchedule[[#This Row],[PMT NO]]&lt;&gt;"",ScheduledPayment,"")</f>
        <v>839.37073521385321</v>
      </c>
      <c r="F214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214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214" s="6">
        <f>IF(PaymentSchedule[[#This Row],[PMT NO]]&lt;&gt;"",PaymentSchedule[[#This Row],[TOTAL PAYMENT]]-PaymentSchedule[[#This Row],[INTEREST]],"")</f>
        <v>354.18090190896521</v>
      </c>
      <c r="I214" s="6">
        <f>IF(PaymentSchedule[[#This Row],[PMT NO]]&lt;&gt;"",PaymentSchedule[[#This Row],[BEGINNING BALANCE]]*(InterestRate/PaymentsPerYear),"")</f>
        <v>485.189833304888</v>
      </c>
      <c r="J214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96683.785759068633</v>
      </c>
      <c r="K214" s="6">
        <f>IF(PaymentSchedule[[#This Row],[PMT NO]]&lt;&gt;"",SUM(INDEX(PaymentSchedule[INTEREST],1,1):PaymentSchedule[[#This Row],[INTEREST]]),"")</f>
        <v>114485.48397927317</v>
      </c>
    </row>
    <row r="215" spans="2:11" x14ac:dyDescent="0.2">
      <c r="B215" s="4">
        <f>IF(LoanIsGood,IF(ROW()-ROW(PaymentSchedule[[#Headers],[PMT NO]])&gt;ScheduledNumberOfPayments,"",ROW()-ROW(PaymentSchedule[[#Headers],[PMT NO]])),"")</f>
        <v>189</v>
      </c>
      <c r="C215" s="5">
        <f>IF(PaymentSchedule[[#This Row],[PMT NO]]&lt;&gt;"",EOMONTH(LoanStartDate,ROW(PaymentSchedule[[#This Row],[PMT NO]])-ROW(PaymentSchedule[[#Headers],[PMT NO]])-2)+DAY(LoanStartDate),"")</f>
        <v>51775</v>
      </c>
      <c r="D215" s="6">
        <f>IF(PaymentSchedule[[#This Row],[PMT NO]]&lt;&gt;"",IF(ROW()-ROW(PaymentSchedule[[#Headers],[BEGINNING BALANCE]])=1,LoanAmount,INDEX(PaymentSchedule[ENDING BALANCE],ROW()-ROW(PaymentSchedule[[#Headers],[BEGINNING BALANCE]])-1)),"")</f>
        <v>96683.785759068633</v>
      </c>
      <c r="E215" s="6">
        <f>IF(PaymentSchedule[[#This Row],[PMT NO]]&lt;&gt;"",ScheduledPayment,"")</f>
        <v>839.37073521385321</v>
      </c>
      <c r="F215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215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215" s="6">
        <f>IF(PaymentSchedule[[#This Row],[PMT NO]]&lt;&gt;"",PaymentSchedule[[#This Row],[TOTAL PAYMENT]]-PaymentSchedule[[#This Row],[INTEREST]],"")</f>
        <v>355.95180641851005</v>
      </c>
      <c r="I215" s="6">
        <f>IF(PaymentSchedule[[#This Row],[PMT NO]]&lt;&gt;"",PaymentSchedule[[#This Row],[BEGINNING BALANCE]]*(InterestRate/PaymentsPerYear),"")</f>
        <v>483.41892879534316</v>
      </c>
      <c r="J215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96327.833952650122</v>
      </c>
      <c r="K215" s="6">
        <f>IF(PaymentSchedule[[#This Row],[PMT NO]]&lt;&gt;"",SUM(INDEX(PaymentSchedule[INTEREST],1,1):PaymentSchedule[[#This Row],[INTEREST]]),"")</f>
        <v>114968.90290806851</v>
      </c>
    </row>
    <row r="216" spans="2:11" x14ac:dyDescent="0.2">
      <c r="B216" s="4">
        <f>IF(LoanIsGood,IF(ROW()-ROW(PaymentSchedule[[#Headers],[PMT NO]])&gt;ScheduledNumberOfPayments,"",ROW()-ROW(PaymentSchedule[[#Headers],[PMT NO]])),"")</f>
        <v>190</v>
      </c>
      <c r="C216" s="5">
        <f>IF(PaymentSchedule[[#This Row],[PMT NO]]&lt;&gt;"",EOMONTH(LoanStartDate,ROW(PaymentSchedule[[#This Row],[PMT NO]])-ROW(PaymentSchedule[[#Headers],[PMT NO]])-2)+DAY(LoanStartDate),"")</f>
        <v>51806</v>
      </c>
      <c r="D216" s="6">
        <f>IF(PaymentSchedule[[#This Row],[PMT NO]]&lt;&gt;"",IF(ROW()-ROW(PaymentSchedule[[#Headers],[BEGINNING BALANCE]])=1,LoanAmount,INDEX(PaymentSchedule[ENDING BALANCE],ROW()-ROW(PaymentSchedule[[#Headers],[BEGINNING BALANCE]])-1)),"")</f>
        <v>96327.833952650122</v>
      </c>
      <c r="E216" s="6">
        <f>IF(PaymentSchedule[[#This Row],[PMT NO]]&lt;&gt;"",ScheduledPayment,"")</f>
        <v>839.37073521385321</v>
      </c>
      <c r="F216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216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216" s="6">
        <f>IF(PaymentSchedule[[#This Row],[PMT NO]]&lt;&gt;"",PaymentSchedule[[#This Row],[TOTAL PAYMENT]]-PaymentSchedule[[#This Row],[INTEREST]],"")</f>
        <v>357.7315654506026</v>
      </c>
      <c r="I216" s="6">
        <f>IF(PaymentSchedule[[#This Row],[PMT NO]]&lt;&gt;"",PaymentSchedule[[#This Row],[BEGINNING BALANCE]]*(InterestRate/PaymentsPerYear),"")</f>
        <v>481.63916976325061</v>
      </c>
      <c r="J216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95970.102387199513</v>
      </c>
      <c r="K216" s="6">
        <f>IF(PaymentSchedule[[#This Row],[PMT NO]]&lt;&gt;"",SUM(INDEX(PaymentSchedule[INTEREST],1,1):PaymentSchedule[[#This Row],[INTEREST]]),"")</f>
        <v>115450.54207783176</v>
      </c>
    </row>
    <row r="217" spans="2:11" x14ac:dyDescent="0.2">
      <c r="B217" s="4">
        <f>IF(LoanIsGood,IF(ROW()-ROW(PaymentSchedule[[#Headers],[PMT NO]])&gt;ScheduledNumberOfPayments,"",ROW()-ROW(PaymentSchedule[[#Headers],[PMT NO]])),"")</f>
        <v>191</v>
      </c>
      <c r="C217" s="5">
        <f>IF(PaymentSchedule[[#This Row],[PMT NO]]&lt;&gt;"",EOMONTH(LoanStartDate,ROW(PaymentSchedule[[#This Row],[PMT NO]])-ROW(PaymentSchedule[[#Headers],[PMT NO]])-2)+DAY(LoanStartDate),"")</f>
        <v>51836</v>
      </c>
      <c r="D217" s="6">
        <f>IF(PaymentSchedule[[#This Row],[PMT NO]]&lt;&gt;"",IF(ROW()-ROW(PaymentSchedule[[#Headers],[BEGINNING BALANCE]])=1,LoanAmount,INDEX(PaymentSchedule[ENDING BALANCE],ROW()-ROW(PaymentSchedule[[#Headers],[BEGINNING BALANCE]])-1)),"")</f>
        <v>95970.102387199513</v>
      </c>
      <c r="E217" s="6">
        <f>IF(PaymentSchedule[[#This Row],[PMT NO]]&lt;&gt;"",ScheduledPayment,"")</f>
        <v>839.37073521385321</v>
      </c>
      <c r="F217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217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217" s="6">
        <f>IF(PaymentSchedule[[#This Row],[PMT NO]]&lt;&gt;"",PaymentSchedule[[#This Row],[TOTAL PAYMENT]]-PaymentSchedule[[#This Row],[INTEREST]],"")</f>
        <v>359.52022327785562</v>
      </c>
      <c r="I217" s="6">
        <f>IF(PaymentSchedule[[#This Row],[PMT NO]]&lt;&gt;"",PaymentSchedule[[#This Row],[BEGINNING BALANCE]]*(InterestRate/PaymentsPerYear),"")</f>
        <v>479.85051193599759</v>
      </c>
      <c r="J217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95610.582163921659</v>
      </c>
      <c r="K217" s="6">
        <f>IF(PaymentSchedule[[#This Row],[PMT NO]]&lt;&gt;"",SUM(INDEX(PaymentSchedule[INTEREST],1,1):PaymentSchedule[[#This Row],[INTEREST]]),"")</f>
        <v>115930.39258976775</v>
      </c>
    </row>
    <row r="218" spans="2:11" x14ac:dyDescent="0.2">
      <c r="B218" s="4">
        <f>IF(LoanIsGood,IF(ROW()-ROW(PaymentSchedule[[#Headers],[PMT NO]])&gt;ScheduledNumberOfPayments,"",ROW()-ROW(PaymentSchedule[[#Headers],[PMT NO]])),"")</f>
        <v>192</v>
      </c>
      <c r="C218" s="5">
        <f>IF(PaymentSchedule[[#This Row],[PMT NO]]&lt;&gt;"",EOMONTH(LoanStartDate,ROW(PaymentSchedule[[#This Row],[PMT NO]])-ROW(PaymentSchedule[[#Headers],[PMT NO]])-2)+DAY(LoanStartDate),"")</f>
        <v>51867</v>
      </c>
      <c r="D218" s="6">
        <f>IF(PaymentSchedule[[#This Row],[PMT NO]]&lt;&gt;"",IF(ROW()-ROW(PaymentSchedule[[#Headers],[BEGINNING BALANCE]])=1,LoanAmount,INDEX(PaymentSchedule[ENDING BALANCE],ROW()-ROW(PaymentSchedule[[#Headers],[BEGINNING BALANCE]])-1)),"")</f>
        <v>95610.582163921659</v>
      </c>
      <c r="E218" s="6">
        <f>IF(PaymentSchedule[[#This Row],[PMT NO]]&lt;&gt;"",ScheduledPayment,"")</f>
        <v>839.37073521385321</v>
      </c>
      <c r="F218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218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218" s="6">
        <f>IF(PaymentSchedule[[#This Row],[PMT NO]]&lt;&gt;"",PaymentSchedule[[#This Row],[TOTAL PAYMENT]]-PaymentSchedule[[#This Row],[INTEREST]],"")</f>
        <v>361.31782439424489</v>
      </c>
      <c r="I218" s="6">
        <f>IF(PaymentSchedule[[#This Row],[PMT NO]]&lt;&gt;"",PaymentSchedule[[#This Row],[BEGINNING BALANCE]]*(InterestRate/PaymentsPerYear),"")</f>
        <v>478.05291081960831</v>
      </c>
      <c r="J218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95249.264339527421</v>
      </c>
      <c r="K218" s="6">
        <f>IF(PaymentSchedule[[#This Row],[PMT NO]]&lt;&gt;"",SUM(INDEX(PaymentSchedule[INTEREST],1,1):PaymentSchedule[[#This Row],[INTEREST]]),"")</f>
        <v>116408.44550058736</v>
      </c>
    </row>
    <row r="219" spans="2:11" x14ac:dyDescent="0.2">
      <c r="B219" s="4">
        <f>IF(LoanIsGood,IF(ROW()-ROW(PaymentSchedule[[#Headers],[PMT NO]])&gt;ScheduledNumberOfPayments,"",ROW()-ROW(PaymentSchedule[[#Headers],[PMT NO]])),"")</f>
        <v>193</v>
      </c>
      <c r="C219" s="5">
        <f>IF(PaymentSchedule[[#This Row],[PMT NO]]&lt;&gt;"",EOMONTH(LoanStartDate,ROW(PaymentSchedule[[#This Row],[PMT NO]])-ROW(PaymentSchedule[[#Headers],[PMT NO]])-2)+DAY(LoanStartDate),"")</f>
        <v>51898</v>
      </c>
      <c r="D219" s="6">
        <f>IF(PaymentSchedule[[#This Row],[PMT NO]]&lt;&gt;"",IF(ROW()-ROW(PaymentSchedule[[#Headers],[BEGINNING BALANCE]])=1,LoanAmount,INDEX(PaymentSchedule[ENDING BALANCE],ROW()-ROW(PaymentSchedule[[#Headers],[BEGINNING BALANCE]])-1)),"")</f>
        <v>95249.264339527421</v>
      </c>
      <c r="E219" s="6">
        <f>IF(PaymentSchedule[[#This Row],[PMT NO]]&lt;&gt;"",ScheduledPayment,"")</f>
        <v>839.37073521385321</v>
      </c>
      <c r="F219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219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219" s="6">
        <f>IF(PaymentSchedule[[#This Row],[PMT NO]]&lt;&gt;"",PaymentSchedule[[#This Row],[TOTAL PAYMENT]]-PaymentSchedule[[#This Row],[INTEREST]],"")</f>
        <v>363.12441351621612</v>
      </c>
      <c r="I219" s="6">
        <f>IF(PaymentSchedule[[#This Row],[PMT NO]]&lt;&gt;"",PaymentSchedule[[#This Row],[BEGINNING BALANCE]]*(InterestRate/PaymentsPerYear),"")</f>
        <v>476.24632169763709</v>
      </c>
      <c r="J219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94886.139926011208</v>
      </c>
      <c r="K219" s="6">
        <f>IF(PaymentSchedule[[#This Row],[PMT NO]]&lt;&gt;"",SUM(INDEX(PaymentSchedule[INTEREST],1,1):PaymentSchedule[[#This Row],[INTEREST]]),"")</f>
        <v>116884.69182228499</v>
      </c>
    </row>
    <row r="220" spans="2:11" x14ac:dyDescent="0.2">
      <c r="B220" s="4">
        <f>IF(LoanIsGood,IF(ROW()-ROW(PaymentSchedule[[#Headers],[PMT NO]])&gt;ScheduledNumberOfPayments,"",ROW()-ROW(PaymentSchedule[[#Headers],[PMT NO]])),"")</f>
        <v>194</v>
      </c>
      <c r="C220" s="5">
        <f>IF(PaymentSchedule[[#This Row],[PMT NO]]&lt;&gt;"",EOMONTH(LoanStartDate,ROW(PaymentSchedule[[#This Row],[PMT NO]])-ROW(PaymentSchedule[[#Headers],[PMT NO]])-2)+DAY(LoanStartDate),"")</f>
        <v>51926</v>
      </c>
      <c r="D220" s="6">
        <f>IF(PaymentSchedule[[#This Row],[PMT NO]]&lt;&gt;"",IF(ROW()-ROW(PaymentSchedule[[#Headers],[BEGINNING BALANCE]])=1,LoanAmount,INDEX(PaymentSchedule[ENDING BALANCE],ROW()-ROW(PaymentSchedule[[#Headers],[BEGINNING BALANCE]])-1)),"")</f>
        <v>94886.139926011208</v>
      </c>
      <c r="E220" s="6">
        <f>IF(PaymentSchedule[[#This Row],[PMT NO]]&lt;&gt;"",ScheduledPayment,"")</f>
        <v>839.37073521385321</v>
      </c>
      <c r="F220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220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220" s="6">
        <f>IF(PaymentSchedule[[#This Row],[PMT NO]]&lt;&gt;"",PaymentSchedule[[#This Row],[TOTAL PAYMENT]]-PaymentSchedule[[#This Row],[INTEREST]],"")</f>
        <v>364.94003558379717</v>
      </c>
      <c r="I220" s="6">
        <f>IF(PaymentSchedule[[#This Row],[PMT NO]]&lt;&gt;"",PaymentSchedule[[#This Row],[BEGINNING BALANCE]]*(InterestRate/PaymentsPerYear),"")</f>
        <v>474.43069963005604</v>
      </c>
      <c r="J220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94521.199890427408</v>
      </c>
      <c r="K220" s="6">
        <f>IF(PaymentSchedule[[#This Row],[PMT NO]]&lt;&gt;"",SUM(INDEX(PaymentSchedule[INTEREST],1,1):PaymentSchedule[[#This Row],[INTEREST]]),"")</f>
        <v>117359.12252191505</v>
      </c>
    </row>
    <row r="221" spans="2:11" x14ac:dyDescent="0.2">
      <c r="B221" s="4">
        <f>IF(LoanIsGood,IF(ROW()-ROW(PaymentSchedule[[#Headers],[PMT NO]])&gt;ScheduledNumberOfPayments,"",ROW()-ROW(PaymentSchedule[[#Headers],[PMT NO]])),"")</f>
        <v>195</v>
      </c>
      <c r="C221" s="5">
        <f>IF(PaymentSchedule[[#This Row],[PMT NO]]&lt;&gt;"",EOMONTH(LoanStartDate,ROW(PaymentSchedule[[#This Row],[PMT NO]])-ROW(PaymentSchedule[[#Headers],[PMT NO]])-2)+DAY(LoanStartDate),"")</f>
        <v>51957</v>
      </c>
      <c r="D221" s="6">
        <f>IF(PaymentSchedule[[#This Row],[PMT NO]]&lt;&gt;"",IF(ROW()-ROW(PaymentSchedule[[#Headers],[BEGINNING BALANCE]])=1,LoanAmount,INDEX(PaymentSchedule[ENDING BALANCE],ROW()-ROW(PaymentSchedule[[#Headers],[BEGINNING BALANCE]])-1)),"")</f>
        <v>94521.199890427408</v>
      </c>
      <c r="E221" s="6">
        <f>IF(PaymentSchedule[[#This Row],[PMT NO]]&lt;&gt;"",ScheduledPayment,"")</f>
        <v>839.37073521385321</v>
      </c>
      <c r="F221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221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221" s="6">
        <f>IF(PaymentSchedule[[#This Row],[PMT NO]]&lt;&gt;"",PaymentSchedule[[#This Row],[TOTAL PAYMENT]]-PaymentSchedule[[#This Row],[INTEREST]],"")</f>
        <v>366.76473576171617</v>
      </c>
      <c r="I221" s="6">
        <f>IF(PaymentSchedule[[#This Row],[PMT NO]]&lt;&gt;"",PaymentSchedule[[#This Row],[BEGINNING BALANCE]]*(InterestRate/PaymentsPerYear),"")</f>
        <v>472.60599945213704</v>
      </c>
      <c r="J221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94154.435154665698</v>
      </c>
      <c r="K221" s="6">
        <f>IF(PaymentSchedule[[#This Row],[PMT NO]]&lt;&gt;"",SUM(INDEX(PaymentSchedule[INTEREST],1,1):PaymentSchedule[[#This Row],[INTEREST]]),"")</f>
        <v>117831.72852136719</v>
      </c>
    </row>
    <row r="222" spans="2:11" x14ac:dyDescent="0.2">
      <c r="B222" s="4">
        <f>IF(LoanIsGood,IF(ROW()-ROW(PaymentSchedule[[#Headers],[PMT NO]])&gt;ScheduledNumberOfPayments,"",ROW()-ROW(PaymentSchedule[[#Headers],[PMT NO]])),"")</f>
        <v>196</v>
      </c>
      <c r="C222" s="5">
        <f>IF(PaymentSchedule[[#This Row],[PMT NO]]&lt;&gt;"",EOMONTH(LoanStartDate,ROW(PaymentSchedule[[#This Row],[PMT NO]])-ROW(PaymentSchedule[[#Headers],[PMT NO]])-2)+DAY(LoanStartDate),"")</f>
        <v>51987</v>
      </c>
      <c r="D222" s="6">
        <f>IF(PaymentSchedule[[#This Row],[PMT NO]]&lt;&gt;"",IF(ROW()-ROW(PaymentSchedule[[#Headers],[BEGINNING BALANCE]])=1,LoanAmount,INDEX(PaymentSchedule[ENDING BALANCE],ROW()-ROW(PaymentSchedule[[#Headers],[BEGINNING BALANCE]])-1)),"")</f>
        <v>94154.435154665698</v>
      </c>
      <c r="E222" s="6">
        <f>IF(PaymentSchedule[[#This Row],[PMT NO]]&lt;&gt;"",ScheduledPayment,"")</f>
        <v>839.37073521385321</v>
      </c>
      <c r="F222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222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222" s="6">
        <f>IF(PaymentSchedule[[#This Row],[PMT NO]]&lt;&gt;"",PaymentSchedule[[#This Row],[TOTAL PAYMENT]]-PaymentSchedule[[#This Row],[INTEREST]],"")</f>
        <v>368.5985594405247</v>
      </c>
      <c r="I222" s="6">
        <f>IF(PaymentSchedule[[#This Row],[PMT NO]]&lt;&gt;"",PaymentSchedule[[#This Row],[BEGINNING BALANCE]]*(InterestRate/PaymentsPerYear),"")</f>
        <v>470.77217577332851</v>
      </c>
      <c r="J222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93785.836595225177</v>
      </c>
      <c r="K222" s="6">
        <f>IF(PaymentSchedule[[#This Row],[PMT NO]]&lt;&gt;"",SUM(INDEX(PaymentSchedule[INTEREST],1,1):PaymentSchedule[[#This Row],[INTEREST]]),"")</f>
        <v>118302.50069714051</v>
      </c>
    </row>
    <row r="223" spans="2:11" x14ac:dyDescent="0.2">
      <c r="B223" s="4">
        <f>IF(LoanIsGood,IF(ROW()-ROW(PaymentSchedule[[#Headers],[PMT NO]])&gt;ScheduledNumberOfPayments,"",ROW()-ROW(PaymentSchedule[[#Headers],[PMT NO]])),"")</f>
        <v>197</v>
      </c>
      <c r="C223" s="5">
        <f>IF(PaymentSchedule[[#This Row],[PMT NO]]&lt;&gt;"",EOMONTH(LoanStartDate,ROW(PaymentSchedule[[#This Row],[PMT NO]])-ROW(PaymentSchedule[[#Headers],[PMT NO]])-2)+DAY(LoanStartDate),"")</f>
        <v>52018</v>
      </c>
      <c r="D223" s="6">
        <f>IF(PaymentSchedule[[#This Row],[PMT NO]]&lt;&gt;"",IF(ROW()-ROW(PaymentSchedule[[#Headers],[BEGINNING BALANCE]])=1,LoanAmount,INDEX(PaymentSchedule[ENDING BALANCE],ROW()-ROW(PaymentSchedule[[#Headers],[BEGINNING BALANCE]])-1)),"")</f>
        <v>93785.836595225177</v>
      </c>
      <c r="E223" s="6">
        <f>IF(PaymentSchedule[[#This Row],[PMT NO]]&lt;&gt;"",ScheduledPayment,"")</f>
        <v>839.37073521385321</v>
      </c>
      <c r="F223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223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223" s="6">
        <f>IF(PaymentSchedule[[#This Row],[PMT NO]]&lt;&gt;"",PaymentSchedule[[#This Row],[TOTAL PAYMENT]]-PaymentSchedule[[#This Row],[INTEREST]],"")</f>
        <v>370.44155223772731</v>
      </c>
      <c r="I223" s="6">
        <f>IF(PaymentSchedule[[#This Row],[PMT NO]]&lt;&gt;"",PaymentSchedule[[#This Row],[BEGINNING BALANCE]]*(InterestRate/PaymentsPerYear),"")</f>
        <v>468.9291829761259</v>
      </c>
      <c r="J223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93415.395042987453</v>
      </c>
      <c r="K223" s="6">
        <f>IF(PaymentSchedule[[#This Row],[PMT NO]]&lt;&gt;"",SUM(INDEX(PaymentSchedule[INTEREST],1,1):PaymentSchedule[[#This Row],[INTEREST]]),"")</f>
        <v>118771.42988011663</v>
      </c>
    </row>
    <row r="224" spans="2:11" x14ac:dyDescent="0.2">
      <c r="B224" s="4">
        <f>IF(LoanIsGood,IF(ROW()-ROW(PaymentSchedule[[#Headers],[PMT NO]])&gt;ScheduledNumberOfPayments,"",ROW()-ROW(PaymentSchedule[[#Headers],[PMT NO]])),"")</f>
        <v>198</v>
      </c>
      <c r="C224" s="5">
        <f>IF(PaymentSchedule[[#This Row],[PMT NO]]&lt;&gt;"",EOMONTH(LoanStartDate,ROW(PaymentSchedule[[#This Row],[PMT NO]])-ROW(PaymentSchedule[[#Headers],[PMT NO]])-2)+DAY(LoanStartDate),"")</f>
        <v>52048</v>
      </c>
      <c r="D224" s="6">
        <f>IF(PaymentSchedule[[#This Row],[PMT NO]]&lt;&gt;"",IF(ROW()-ROW(PaymentSchedule[[#Headers],[BEGINNING BALANCE]])=1,LoanAmount,INDEX(PaymentSchedule[ENDING BALANCE],ROW()-ROW(PaymentSchedule[[#Headers],[BEGINNING BALANCE]])-1)),"")</f>
        <v>93415.395042987453</v>
      </c>
      <c r="E224" s="6">
        <f>IF(PaymentSchedule[[#This Row],[PMT NO]]&lt;&gt;"",ScheduledPayment,"")</f>
        <v>839.37073521385321</v>
      </c>
      <c r="F224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224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224" s="6">
        <f>IF(PaymentSchedule[[#This Row],[PMT NO]]&lt;&gt;"",PaymentSchedule[[#This Row],[TOTAL PAYMENT]]-PaymentSchedule[[#This Row],[INTEREST]],"")</f>
        <v>372.29375999891596</v>
      </c>
      <c r="I224" s="6">
        <f>IF(PaymentSchedule[[#This Row],[PMT NO]]&lt;&gt;"",PaymentSchedule[[#This Row],[BEGINNING BALANCE]]*(InterestRate/PaymentsPerYear),"")</f>
        <v>467.07697521493725</v>
      </c>
      <c r="J224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93043.101282988544</v>
      </c>
      <c r="K224" s="6">
        <f>IF(PaymentSchedule[[#This Row],[PMT NO]]&lt;&gt;"",SUM(INDEX(PaymentSchedule[INTEREST],1,1):PaymentSchedule[[#This Row],[INTEREST]]),"")</f>
        <v>119238.50685533157</v>
      </c>
    </row>
    <row r="225" spans="2:11" x14ac:dyDescent="0.2">
      <c r="B225" s="4">
        <f>IF(LoanIsGood,IF(ROW()-ROW(PaymentSchedule[[#Headers],[PMT NO]])&gt;ScheduledNumberOfPayments,"",ROW()-ROW(PaymentSchedule[[#Headers],[PMT NO]])),"")</f>
        <v>199</v>
      </c>
      <c r="C225" s="5">
        <f>IF(PaymentSchedule[[#This Row],[PMT NO]]&lt;&gt;"",EOMONTH(LoanStartDate,ROW(PaymentSchedule[[#This Row],[PMT NO]])-ROW(PaymentSchedule[[#Headers],[PMT NO]])-2)+DAY(LoanStartDate),"")</f>
        <v>52079</v>
      </c>
      <c r="D225" s="6">
        <f>IF(PaymentSchedule[[#This Row],[PMT NO]]&lt;&gt;"",IF(ROW()-ROW(PaymentSchedule[[#Headers],[BEGINNING BALANCE]])=1,LoanAmount,INDEX(PaymentSchedule[ENDING BALANCE],ROW()-ROW(PaymentSchedule[[#Headers],[BEGINNING BALANCE]])-1)),"")</f>
        <v>93043.101282988544</v>
      </c>
      <c r="E225" s="6">
        <f>IF(PaymentSchedule[[#This Row],[PMT NO]]&lt;&gt;"",ScheduledPayment,"")</f>
        <v>839.37073521385321</v>
      </c>
      <c r="F225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225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225" s="6">
        <f>IF(PaymentSchedule[[#This Row],[PMT NO]]&lt;&gt;"",PaymentSchedule[[#This Row],[TOTAL PAYMENT]]-PaymentSchedule[[#This Row],[INTEREST]],"")</f>
        <v>374.15522879891046</v>
      </c>
      <c r="I225" s="6">
        <f>IF(PaymentSchedule[[#This Row],[PMT NO]]&lt;&gt;"",PaymentSchedule[[#This Row],[BEGINNING BALANCE]]*(InterestRate/PaymentsPerYear),"")</f>
        <v>465.21550641494275</v>
      </c>
      <c r="J225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92668.946054189641</v>
      </c>
      <c r="K225" s="6">
        <f>IF(PaymentSchedule[[#This Row],[PMT NO]]&lt;&gt;"",SUM(INDEX(PaymentSchedule[INTEREST],1,1):PaymentSchedule[[#This Row],[INTEREST]]),"")</f>
        <v>119703.72236174651</v>
      </c>
    </row>
    <row r="226" spans="2:11" x14ac:dyDescent="0.2">
      <c r="B226" s="4">
        <f>IF(LoanIsGood,IF(ROW()-ROW(PaymentSchedule[[#Headers],[PMT NO]])&gt;ScheduledNumberOfPayments,"",ROW()-ROW(PaymentSchedule[[#Headers],[PMT NO]])),"")</f>
        <v>200</v>
      </c>
      <c r="C226" s="5">
        <f>IF(PaymentSchedule[[#This Row],[PMT NO]]&lt;&gt;"",EOMONTH(LoanStartDate,ROW(PaymentSchedule[[#This Row],[PMT NO]])-ROW(PaymentSchedule[[#Headers],[PMT NO]])-2)+DAY(LoanStartDate),"")</f>
        <v>52110</v>
      </c>
      <c r="D226" s="6">
        <f>IF(PaymentSchedule[[#This Row],[PMT NO]]&lt;&gt;"",IF(ROW()-ROW(PaymentSchedule[[#Headers],[BEGINNING BALANCE]])=1,LoanAmount,INDEX(PaymentSchedule[ENDING BALANCE],ROW()-ROW(PaymentSchedule[[#Headers],[BEGINNING BALANCE]])-1)),"")</f>
        <v>92668.946054189641</v>
      </c>
      <c r="E226" s="6">
        <f>IF(PaymentSchedule[[#This Row],[PMT NO]]&lt;&gt;"",ScheduledPayment,"")</f>
        <v>839.37073521385321</v>
      </c>
      <c r="F226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226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226" s="6">
        <f>IF(PaymentSchedule[[#This Row],[PMT NO]]&lt;&gt;"",PaymentSchedule[[#This Row],[TOTAL PAYMENT]]-PaymentSchedule[[#This Row],[INTEREST]],"")</f>
        <v>376.02600494290499</v>
      </c>
      <c r="I226" s="6">
        <f>IF(PaymentSchedule[[#This Row],[PMT NO]]&lt;&gt;"",PaymentSchedule[[#This Row],[BEGINNING BALANCE]]*(InterestRate/PaymentsPerYear),"")</f>
        <v>463.34473027094822</v>
      </c>
      <c r="J226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92292.920049246735</v>
      </c>
      <c r="K226" s="6">
        <f>IF(PaymentSchedule[[#This Row],[PMT NO]]&lt;&gt;"",SUM(INDEX(PaymentSchedule[INTEREST],1,1):PaymentSchedule[[#This Row],[INTEREST]]),"")</f>
        <v>120167.06709201746</v>
      </c>
    </row>
    <row r="227" spans="2:11" x14ac:dyDescent="0.2">
      <c r="B227" s="4">
        <f>IF(LoanIsGood,IF(ROW()-ROW(PaymentSchedule[[#Headers],[PMT NO]])&gt;ScheduledNumberOfPayments,"",ROW()-ROW(PaymentSchedule[[#Headers],[PMT NO]])),"")</f>
        <v>201</v>
      </c>
      <c r="C227" s="5">
        <f>IF(PaymentSchedule[[#This Row],[PMT NO]]&lt;&gt;"",EOMONTH(LoanStartDate,ROW(PaymentSchedule[[#This Row],[PMT NO]])-ROW(PaymentSchedule[[#Headers],[PMT NO]])-2)+DAY(LoanStartDate),"")</f>
        <v>52140</v>
      </c>
      <c r="D227" s="6">
        <f>IF(PaymentSchedule[[#This Row],[PMT NO]]&lt;&gt;"",IF(ROW()-ROW(PaymentSchedule[[#Headers],[BEGINNING BALANCE]])=1,LoanAmount,INDEX(PaymentSchedule[ENDING BALANCE],ROW()-ROW(PaymentSchedule[[#Headers],[BEGINNING BALANCE]])-1)),"")</f>
        <v>92292.920049246735</v>
      </c>
      <c r="E227" s="6">
        <f>IF(PaymentSchedule[[#This Row],[PMT NO]]&lt;&gt;"",ScheduledPayment,"")</f>
        <v>839.37073521385321</v>
      </c>
      <c r="F227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227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227" s="6">
        <f>IF(PaymentSchedule[[#This Row],[PMT NO]]&lt;&gt;"",PaymentSchedule[[#This Row],[TOTAL PAYMENT]]-PaymentSchedule[[#This Row],[INTEREST]],"")</f>
        <v>377.90613496761955</v>
      </c>
      <c r="I227" s="6">
        <f>IF(PaymentSchedule[[#This Row],[PMT NO]]&lt;&gt;"",PaymentSchedule[[#This Row],[BEGINNING BALANCE]]*(InterestRate/PaymentsPerYear),"")</f>
        <v>461.46460024623366</v>
      </c>
      <c r="J227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91915.013914279116</v>
      </c>
      <c r="K227" s="6">
        <f>IF(PaymentSchedule[[#This Row],[PMT NO]]&lt;&gt;"",SUM(INDEX(PaymentSchedule[INTEREST],1,1):PaymentSchedule[[#This Row],[INTEREST]]),"")</f>
        <v>120628.5316922637</v>
      </c>
    </row>
    <row r="228" spans="2:11" x14ac:dyDescent="0.2">
      <c r="B228" s="4">
        <f>IF(LoanIsGood,IF(ROW()-ROW(PaymentSchedule[[#Headers],[PMT NO]])&gt;ScheduledNumberOfPayments,"",ROW()-ROW(PaymentSchedule[[#Headers],[PMT NO]])),"")</f>
        <v>202</v>
      </c>
      <c r="C228" s="5">
        <f>IF(PaymentSchedule[[#This Row],[PMT NO]]&lt;&gt;"",EOMONTH(LoanStartDate,ROW(PaymentSchedule[[#This Row],[PMT NO]])-ROW(PaymentSchedule[[#Headers],[PMT NO]])-2)+DAY(LoanStartDate),"")</f>
        <v>52171</v>
      </c>
      <c r="D228" s="6">
        <f>IF(PaymentSchedule[[#This Row],[PMT NO]]&lt;&gt;"",IF(ROW()-ROW(PaymentSchedule[[#Headers],[BEGINNING BALANCE]])=1,LoanAmount,INDEX(PaymentSchedule[ENDING BALANCE],ROW()-ROW(PaymentSchedule[[#Headers],[BEGINNING BALANCE]])-1)),"")</f>
        <v>91915.013914279116</v>
      </c>
      <c r="E228" s="6">
        <f>IF(PaymentSchedule[[#This Row],[PMT NO]]&lt;&gt;"",ScheduledPayment,"")</f>
        <v>839.37073521385321</v>
      </c>
      <c r="F228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228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228" s="6">
        <f>IF(PaymentSchedule[[#This Row],[PMT NO]]&lt;&gt;"",PaymentSchedule[[#This Row],[TOTAL PAYMENT]]-PaymentSchedule[[#This Row],[INTEREST]],"")</f>
        <v>379.79566564245761</v>
      </c>
      <c r="I228" s="6">
        <f>IF(PaymentSchedule[[#This Row],[PMT NO]]&lt;&gt;"",PaymentSchedule[[#This Row],[BEGINNING BALANCE]]*(InterestRate/PaymentsPerYear),"")</f>
        <v>459.5750695713956</v>
      </c>
      <c r="J228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91535.218248636666</v>
      </c>
      <c r="K228" s="6">
        <f>IF(PaymentSchedule[[#This Row],[PMT NO]]&lt;&gt;"",SUM(INDEX(PaymentSchedule[INTEREST],1,1):PaymentSchedule[[#This Row],[INTEREST]]),"")</f>
        <v>121088.10676183509</v>
      </c>
    </row>
    <row r="229" spans="2:11" x14ac:dyDescent="0.2">
      <c r="B229" s="4">
        <f>IF(LoanIsGood,IF(ROW()-ROW(PaymentSchedule[[#Headers],[PMT NO]])&gt;ScheduledNumberOfPayments,"",ROW()-ROW(PaymentSchedule[[#Headers],[PMT NO]])),"")</f>
        <v>203</v>
      </c>
      <c r="C229" s="5">
        <f>IF(PaymentSchedule[[#This Row],[PMT NO]]&lt;&gt;"",EOMONTH(LoanStartDate,ROW(PaymentSchedule[[#This Row],[PMT NO]])-ROW(PaymentSchedule[[#Headers],[PMT NO]])-2)+DAY(LoanStartDate),"")</f>
        <v>52201</v>
      </c>
      <c r="D229" s="6">
        <f>IF(PaymentSchedule[[#This Row],[PMT NO]]&lt;&gt;"",IF(ROW()-ROW(PaymentSchedule[[#Headers],[BEGINNING BALANCE]])=1,LoanAmount,INDEX(PaymentSchedule[ENDING BALANCE],ROW()-ROW(PaymentSchedule[[#Headers],[BEGINNING BALANCE]])-1)),"")</f>
        <v>91535.218248636666</v>
      </c>
      <c r="E229" s="6">
        <f>IF(PaymentSchedule[[#This Row],[PMT NO]]&lt;&gt;"",ScheduledPayment,"")</f>
        <v>839.37073521385321</v>
      </c>
      <c r="F229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229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229" s="6">
        <f>IF(PaymentSchedule[[#This Row],[PMT NO]]&lt;&gt;"",PaymentSchedule[[#This Row],[TOTAL PAYMENT]]-PaymentSchedule[[#This Row],[INTEREST]],"")</f>
        <v>381.69464397066986</v>
      </c>
      <c r="I229" s="6">
        <f>IF(PaymentSchedule[[#This Row],[PMT NO]]&lt;&gt;"",PaymentSchedule[[#This Row],[BEGINNING BALANCE]]*(InterestRate/PaymentsPerYear),"")</f>
        <v>457.67609124318335</v>
      </c>
      <c r="J229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91153.523604665999</v>
      </c>
      <c r="K229" s="6">
        <f>IF(PaymentSchedule[[#This Row],[PMT NO]]&lt;&gt;"",SUM(INDEX(PaymentSchedule[INTEREST],1,1):PaymentSchedule[[#This Row],[INTEREST]]),"")</f>
        <v>121545.78285307827</v>
      </c>
    </row>
    <row r="230" spans="2:11" x14ac:dyDescent="0.2">
      <c r="B230" s="4">
        <f>IF(LoanIsGood,IF(ROW()-ROW(PaymentSchedule[[#Headers],[PMT NO]])&gt;ScheduledNumberOfPayments,"",ROW()-ROW(PaymentSchedule[[#Headers],[PMT NO]])),"")</f>
        <v>204</v>
      </c>
      <c r="C230" s="5">
        <f>IF(PaymentSchedule[[#This Row],[PMT NO]]&lt;&gt;"",EOMONTH(LoanStartDate,ROW(PaymentSchedule[[#This Row],[PMT NO]])-ROW(PaymentSchedule[[#Headers],[PMT NO]])-2)+DAY(LoanStartDate),"")</f>
        <v>52232</v>
      </c>
      <c r="D230" s="6">
        <f>IF(PaymentSchedule[[#This Row],[PMT NO]]&lt;&gt;"",IF(ROW()-ROW(PaymentSchedule[[#Headers],[BEGINNING BALANCE]])=1,LoanAmount,INDEX(PaymentSchedule[ENDING BALANCE],ROW()-ROW(PaymentSchedule[[#Headers],[BEGINNING BALANCE]])-1)),"")</f>
        <v>91153.523604665999</v>
      </c>
      <c r="E230" s="6">
        <f>IF(PaymentSchedule[[#This Row],[PMT NO]]&lt;&gt;"",ScheduledPayment,"")</f>
        <v>839.37073521385321</v>
      </c>
      <c r="F230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230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230" s="6">
        <f>IF(PaymentSchedule[[#This Row],[PMT NO]]&lt;&gt;"",PaymentSchedule[[#This Row],[TOTAL PAYMENT]]-PaymentSchedule[[#This Row],[INTEREST]],"")</f>
        <v>383.60311719052322</v>
      </c>
      <c r="I230" s="6">
        <f>IF(PaymentSchedule[[#This Row],[PMT NO]]&lt;&gt;"",PaymentSchedule[[#This Row],[BEGINNING BALANCE]]*(InterestRate/PaymentsPerYear),"")</f>
        <v>455.76761802332999</v>
      </c>
      <c r="J230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90769.92048747548</v>
      </c>
      <c r="K230" s="6">
        <f>IF(PaymentSchedule[[#This Row],[PMT NO]]&lt;&gt;"",SUM(INDEX(PaymentSchedule[INTEREST],1,1):PaymentSchedule[[#This Row],[INTEREST]]),"")</f>
        <v>122001.5504711016</v>
      </c>
    </row>
    <row r="231" spans="2:11" x14ac:dyDescent="0.2">
      <c r="B231" s="4">
        <f>IF(LoanIsGood,IF(ROW()-ROW(PaymentSchedule[[#Headers],[PMT NO]])&gt;ScheduledNumberOfPayments,"",ROW()-ROW(PaymentSchedule[[#Headers],[PMT NO]])),"")</f>
        <v>205</v>
      </c>
      <c r="C231" s="5">
        <f>IF(PaymentSchedule[[#This Row],[PMT NO]]&lt;&gt;"",EOMONTH(LoanStartDate,ROW(PaymentSchedule[[#This Row],[PMT NO]])-ROW(PaymentSchedule[[#Headers],[PMT NO]])-2)+DAY(LoanStartDate),"")</f>
        <v>52263</v>
      </c>
      <c r="D231" s="6">
        <f>IF(PaymentSchedule[[#This Row],[PMT NO]]&lt;&gt;"",IF(ROW()-ROW(PaymentSchedule[[#Headers],[BEGINNING BALANCE]])=1,LoanAmount,INDEX(PaymentSchedule[ENDING BALANCE],ROW()-ROW(PaymentSchedule[[#Headers],[BEGINNING BALANCE]])-1)),"")</f>
        <v>90769.92048747548</v>
      </c>
      <c r="E231" s="6">
        <f>IF(PaymentSchedule[[#This Row],[PMT NO]]&lt;&gt;"",ScheduledPayment,"")</f>
        <v>839.37073521385321</v>
      </c>
      <c r="F231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231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231" s="6">
        <f>IF(PaymentSchedule[[#This Row],[PMT NO]]&lt;&gt;"",PaymentSchedule[[#This Row],[TOTAL PAYMENT]]-PaymentSchedule[[#This Row],[INTEREST]],"")</f>
        <v>385.52113277647578</v>
      </c>
      <c r="I231" s="6">
        <f>IF(PaymentSchedule[[#This Row],[PMT NO]]&lt;&gt;"",PaymentSchedule[[#This Row],[BEGINNING BALANCE]]*(InterestRate/PaymentsPerYear),"")</f>
        <v>453.84960243737743</v>
      </c>
      <c r="J231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90384.39935469901</v>
      </c>
      <c r="K231" s="6">
        <f>IF(PaymentSchedule[[#This Row],[PMT NO]]&lt;&gt;"",SUM(INDEX(PaymentSchedule[INTEREST],1,1):PaymentSchedule[[#This Row],[INTEREST]]),"")</f>
        <v>122455.40007353897</v>
      </c>
    </row>
    <row r="232" spans="2:11" x14ac:dyDescent="0.2">
      <c r="B232" s="4">
        <f>IF(LoanIsGood,IF(ROW()-ROW(PaymentSchedule[[#Headers],[PMT NO]])&gt;ScheduledNumberOfPayments,"",ROW()-ROW(PaymentSchedule[[#Headers],[PMT NO]])),"")</f>
        <v>206</v>
      </c>
      <c r="C232" s="5">
        <f>IF(PaymentSchedule[[#This Row],[PMT NO]]&lt;&gt;"",EOMONTH(LoanStartDate,ROW(PaymentSchedule[[#This Row],[PMT NO]])-ROW(PaymentSchedule[[#Headers],[PMT NO]])-2)+DAY(LoanStartDate),"")</f>
        <v>52291</v>
      </c>
      <c r="D232" s="6">
        <f>IF(PaymentSchedule[[#This Row],[PMT NO]]&lt;&gt;"",IF(ROW()-ROW(PaymentSchedule[[#Headers],[BEGINNING BALANCE]])=1,LoanAmount,INDEX(PaymentSchedule[ENDING BALANCE],ROW()-ROW(PaymentSchedule[[#Headers],[BEGINNING BALANCE]])-1)),"")</f>
        <v>90384.39935469901</v>
      </c>
      <c r="E232" s="6">
        <f>IF(PaymentSchedule[[#This Row],[PMT NO]]&lt;&gt;"",ScheduledPayment,"")</f>
        <v>839.37073521385321</v>
      </c>
      <c r="F232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232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232" s="6">
        <f>IF(PaymentSchedule[[#This Row],[PMT NO]]&lt;&gt;"",PaymentSchedule[[#This Row],[TOTAL PAYMENT]]-PaymentSchedule[[#This Row],[INTEREST]],"")</f>
        <v>387.44873844035817</v>
      </c>
      <c r="I232" s="6">
        <f>IF(PaymentSchedule[[#This Row],[PMT NO]]&lt;&gt;"",PaymentSchedule[[#This Row],[BEGINNING BALANCE]]*(InterestRate/PaymentsPerYear),"")</f>
        <v>451.92199677349504</v>
      </c>
      <c r="J232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89996.950616258648</v>
      </c>
      <c r="K232" s="6">
        <f>IF(PaymentSchedule[[#This Row],[PMT NO]]&lt;&gt;"",SUM(INDEX(PaymentSchedule[INTEREST],1,1):PaymentSchedule[[#This Row],[INTEREST]]),"")</f>
        <v>122907.32207031247</v>
      </c>
    </row>
    <row r="233" spans="2:11" x14ac:dyDescent="0.2">
      <c r="B233" s="4">
        <f>IF(LoanIsGood,IF(ROW()-ROW(PaymentSchedule[[#Headers],[PMT NO]])&gt;ScheduledNumberOfPayments,"",ROW()-ROW(PaymentSchedule[[#Headers],[PMT NO]])),"")</f>
        <v>207</v>
      </c>
      <c r="C233" s="5">
        <f>IF(PaymentSchedule[[#This Row],[PMT NO]]&lt;&gt;"",EOMONTH(LoanStartDate,ROW(PaymentSchedule[[#This Row],[PMT NO]])-ROW(PaymentSchedule[[#Headers],[PMT NO]])-2)+DAY(LoanStartDate),"")</f>
        <v>52322</v>
      </c>
      <c r="D233" s="6">
        <f>IF(PaymentSchedule[[#This Row],[PMT NO]]&lt;&gt;"",IF(ROW()-ROW(PaymentSchedule[[#Headers],[BEGINNING BALANCE]])=1,LoanAmount,INDEX(PaymentSchedule[ENDING BALANCE],ROW()-ROW(PaymentSchedule[[#Headers],[BEGINNING BALANCE]])-1)),"")</f>
        <v>89996.950616258648</v>
      </c>
      <c r="E233" s="6">
        <f>IF(PaymentSchedule[[#This Row],[PMT NO]]&lt;&gt;"",ScheduledPayment,"")</f>
        <v>839.37073521385321</v>
      </c>
      <c r="F233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233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233" s="6">
        <f>IF(PaymentSchedule[[#This Row],[PMT NO]]&lt;&gt;"",PaymentSchedule[[#This Row],[TOTAL PAYMENT]]-PaymentSchedule[[#This Row],[INTEREST]],"")</f>
        <v>389.38598213255995</v>
      </c>
      <c r="I233" s="6">
        <f>IF(PaymentSchedule[[#This Row],[PMT NO]]&lt;&gt;"",PaymentSchedule[[#This Row],[BEGINNING BALANCE]]*(InterestRate/PaymentsPerYear),"")</f>
        <v>449.98475308129326</v>
      </c>
      <c r="J233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89607.564634126087</v>
      </c>
      <c r="K233" s="6">
        <f>IF(PaymentSchedule[[#This Row],[PMT NO]]&lt;&gt;"",SUM(INDEX(PaymentSchedule[INTEREST],1,1):PaymentSchedule[[#This Row],[INTEREST]]),"")</f>
        <v>123357.30682339377</v>
      </c>
    </row>
    <row r="234" spans="2:11" x14ac:dyDescent="0.2">
      <c r="B234" s="4">
        <f>IF(LoanIsGood,IF(ROW()-ROW(PaymentSchedule[[#Headers],[PMT NO]])&gt;ScheduledNumberOfPayments,"",ROW()-ROW(PaymentSchedule[[#Headers],[PMT NO]])),"")</f>
        <v>208</v>
      </c>
      <c r="C234" s="5">
        <f>IF(PaymentSchedule[[#This Row],[PMT NO]]&lt;&gt;"",EOMONTH(LoanStartDate,ROW(PaymentSchedule[[#This Row],[PMT NO]])-ROW(PaymentSchedule[[#Headers],[PMT NO]])-2)+DAY(LoanStartDate),"")</f>
        <v>52352</v>
      </c>
      <c r="D234" s="6">
        <f>IF(PaymentSchedule[[#This Row],[PMT NO]]&lt;&gt;"",IF(ROW()-ROW(PaymentSchedule[[#Headers],[BEGINNING BALANCE]])=1,LoanAmount,INDEX(PaymentSchedule[ENDING BALANCE],ROW()-ROW(PaymentSchedule[[#Headers],[BEGINNING BALANCE]])-1)),"")</f>
        <v>89607.564634126087</v>
      </c>
      <c r="E234" s="6">
        <f>IF(PaymentSchedule[[#This Row],[PMT NO]]&lt;&gt;"",ScheduledPayment,"")</f>
        <v>839.37073521385321</v>
      </c>
      <c r="F234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234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234" s="6">
        <f>IF(PaymentSchedule[[#This Row],[PMT NO]]&lt;&gt;"",PaymentSchedule[[#This Row],[TOTAL PAYMENT]]-PaymentSchedule[[#This Row],[INTEREST]],"")</f>
        <v>391.33291204322279</v>
      </c>
      <c r="I234" s="6">
        <f>IF(PaymentSchedule[[#This Row],[PMT NO]]&lt;&gt;"",PaymentSchedule[[#This Row],[BEGINNING BALANCE]]*(InterestRate/PaymentsPerYear),"")</f>
        <v>448.03782317063042</v>
      </c>
      <c r="J234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89216.23172208287</v>
      </c>
      <c r="K234" s="6">
        <f>IF(PaymentSchedule[[#This Row],[PMT NO]]&lt;&gt;"",SUM(INDEX(PaymentSchedule[INTEREST],1,1):PaymentSchedule[[#This Row],[INTEREST]]),"")</f>
        <v>123805.34464656439</v>
      </c>
    </row>
    <row r="235" spans="2:11" x14ac:dyDescent="0.2">
      <c r="B235" s="4">
        <f>IF(LoanIsGood,IF(ROW()-ROW(PaymentSchedule[[#Headers],[PMT NO]])&gt;ScheduledNumberOfPayments,"",ROW()-ROW(PaymentSchedule[[#Headers],[PMT NO]])),"")</f>
        <v>209</v>
      </c>
      <c r="C235" s="5">
        <f>IF(PaymentSchedule[[#This Row],[PMT NO]]&lt;&gt;"",EOMONTH(LoanStartDate,ROW(PaymentSchedule[[#This Row],[PMT NO]])-ROW(PaymentSchedule[[#Headers],[PMT NO]])-2)+DAY(LoanStartDate),"")</f>
        <v>52383</v>
      </c>
      <c r="D235" s="6">
        <f>IF(PaymentSchedule[[#This Row],[PMT NO]]&lt;&gt;"",IF(ROW()-ROW(PaymentSchedule[[#Headers],[BEGINNING BALANCE]])=1,LoanAmount,INDEX(PaymentSchedule[ENDING BALANCE],ROW()-ROW(PaymentSchedule[[#Headers],[BEGINNING BALANCE]])-1)),"")</f>
        <v>89216.23172208287</v>
      </c>
      <c r="E235" s="6">
        <f>IF(PaymentSchedule[[#This Row],[PMT NO]]&lt;&gt;"",ScheduledPayment,"")</f>
        <v>839.37073521385321</v>
      </c>
      <c r="F235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235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235" s="6">
        <f>IF(PaymentSchedule[[#This Row],[PMT NO]]&lt;&gt;"",PaymentSchedule[[#This Row],[TOTAL PAYMENT]]-PaymentSchedule[[#This Row],[INTEREST]],"")</f>
        <v>393.28957660343883</v>
      </c>
      <c r="I235" s="6">
        <f>IF(PaymentSchedule[[#This Row],[PMT NO]]&lt;&gt;"",PaymentSchedule[[#This Row],[BEGINNING BALANCE]]*(InterestRate/PaymentsPerYear),"")</f>
        <v>446.08115861041438</v>
      </c>
      <c r="J235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88822.942145479436</v>
      </c>
      <c r="K235" s="6">
        <f>IF(PaymentSchedule[[#This Row],[PMT NO]]&lt;&gt;"",SUM(INDEX(PaymentSchedule[INTEREST],1,1):PaymentSchedule[[#This Row],[INTEREST]]),"")</f>
        <v>124251.4258051748</v>
      </c>
    </row>
    <row r="236" spans="2:11" x14ac:dyDescent="0.2">
      <c r="B236" s="4">
        <f>IF(LoanIsGood,IF(ROW()-ROW(PaymentSchedule[[#Headers],[PMT NO]])&gt;ScheduledNumberOfPayments,"",ROW()-ROW(PaymentSchedule[[#Headers],[PMT NO]])),"")</f>
        <v>210</v>
      </c>
      <c r="C236" s="5">
        <f>IF(PaymentSchedule[[#This Row],[PMT NO]]&lt;&gt;"",EOMONTH(LoanStartDate,ROW(PaymentSchedule[[#This Row],[PMT NO]])-ROW(PaymentSchedule[[#Headers],[PMT NO]])-2)+DAY(LoanStartDate),"")</f>
        <v>52413</v>
      </c>
      <c r="D236" s="6">
        <f>IF(PaymentSchedule[[#This Row],[PMT NO]]&lt;&gt;"",IF(ROW()-ROW(PaymentSchedule[[#Headers],[BEGINNING BALANCE]])=1,LoanAmount,INDEX(PaymentSchedule[ENDING BALANCE],ROW()-ROW(PaymentSchedule[[#Headers],[BEGINNING BALANCE]])-1)),"")</f>
        <v>88822.942145479436</v>
      </c>
      <c r="E236" s="6">
        <f>IF(PaymentSchedule[[#This Row],[PMT NO]]&lt;&gt;"",ScheduledPayment,"")</f>
        <v>839.37073521385321</v>
      </c>
      <c r="F236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236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236" s="6">
        <f>IF(PaymentSchedule[[#This Row],[PMT NO]]&lt;&gt;"",PaymentSchedule[[#This Row],[TOTAL PAYMENT]]-PaymentSchedule[[#This Row],[INTEREST]],"")</f>
        <v>395.256024486456</v>
      </c>
      <c r="I236" s="6">
        <f>IF(PaymentSchedule[[#This Row],[PMT NO]]&lt;&gt;"",PaymentSchedule[[#This Row],[BEGINNING BALANCE]]*(InterestRate/PaymentsPerYear),"")</f>
        <v>444.11471072739721</v>
      </c>
      <c r="J236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88427.686120992978</v>
      </c>
      <c r="K236" s="6">
        <f>IF(PaymentSchedule[[#This Row],[PMT NO]]&lt;&gt;"",SUM(INDEX(PaymentSchedule[INTEREST],1,1):PaymentSchedule[[#This Row],[INTEREST]]),"")</f>
        <v>124695.5405159022</v>
      </c>
    </row>
    <row r="237" spans="2:11" x14ac:dyDescent="0.2">
      <c r="B237" s="4">
        <f>IF(LoanIsGood,IF(ROW()-ROW(PaymentSchedule[[#Headers],[PMT NO]])&gt;ScheduledNumberOfPayments,"",ROW()-ROW(PaymentSchedule[[#Headers],[PMT NO]])),"")</f>
        <v>211</v>
      </c>
      <c r="C237" s="5">
        <f>IF(PaymentSchedule[[#This Row],[PMT NO]]&lt;&gt;"",EOMONTH(LoanStartDate,ROW(PaymentSchedule[[#This Row],[PMT NO]])-ROW(PaymentSchedule[[#Headers],[PMT NO]])-2)+DAY(LoanStartDate),"")</f>
        <v>52444</v>
      </c>
      <c r="D237" s="6">
        <f>IF(PaymentSchedule[[#This Row],[PMT NO]]&lt;&gt;"",IF(ROW()-ROW(PaymentSchedule[[#Headers],[BEGINNING BALANCE]])=1,LoanAmount,INDEX(PaymentSchedule[ENDING BALANCE],ROW()-ROW(PaymentSchedule[[#Headers],[BEGINNING BALANCE]])-1)),"")</f>
        <v>88427.686120992978</v>
      </c>
      <c r="E237" s="6">
        <f>IF(PaymentSchedule[[#This Row],[PMT NO]]&lt;&gt;"",ScheduledPayment,"")</f>
        <v>839.37073521385321</v>
      </c>
      <c r="F237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237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237" s="6">
        <f>IF(PaymentSchedule[[#This Row],[PMT NO]]&lt;&gt;"",PaymentSchedule[[#This Row],[TOTAL PAYMENT]]-PaymentSchedule[[#This Row],[INTEREST]],"")</f>
        <v>397.23230460888828</v>
      </c>
      <c r="I237" s="6">
        <f>IF(PaymentSchedule[[#This Row],[PMT NO]]&lt;&gt;"",PaymentSchedule[[#This Row],[BEGINNING BALANCE]]*(InterestRate/PaymentsPerYear),"")</f>
        <v>442.13843060496492</v>
      </c>
      <c r="J237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88030.453816384092</v>
      </c>
      <c r="K237" s="6">
        <f>IF(PaymentSchedule[[#This Row],[PMT NO]]&lt;&gt;"",SUM(INDEX(PaymentSchedule[INTEREST],1,1):PaymentSchedule[[#This Row],[INTEREST]]),"")</f>
        <v>125137.67894650716</v>
      </c>
    </row>
    <row r="238" spans="2:11" x14ac:dyDescent="0.2">
      <c r="B238" s="4">
        <f>IF(LoanIsGood,IF(ROW()-ROW(PaymentSchedule[[#Headers],[PMT NO]])&gt;ScheduledNumberOfPayments,"",ROW()-ROW(PaymentSchedule[[#Headers],[PMT NO]])),"")</f>
        <v>212</v>
      </c>
      <c r="C238" s="5">
        <f>IF(PaymentSchedule[[#This Row],[PMT NO]]&lt;&gt;"",EOMONTH(LoanStartDate,ROW(PaymentSchedule[[#This Row],[PMT NO]])-ROW(PaymentSchedule[[#Headers],[PMT NO]])-2)+DAY(LoanStartDate),"")</f>
        <v>52475</v>
      </c>
      <c r="D238" s="6">
        <f>IF(PaymentSchedule[[#This Row],[PMT NO]]&lt;&gt;"",IF(ROW()-ROW(PaymentSchedule[[#Headers],[BEGINNING BALANCE]])=1,LoanAmount,INDEX(PaymentSchedule[ENDING BALANCE],ROW()-ROW(PaymentSchedule[[#Headers],[BEGINNING BALANCE]])-1)),"")</f>
        <v>88030.453816384092</v>
      </c>
      <c r="E238" s="6">
        <f>IF(PaymentSchedule[[#This Row],[PMT NO]]&lt;&gt;"",ScheduledPayment,"")</f>
        <v>839.37073521385321</v>
      </c>
      <c r="F238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238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238" s="6">
        <f>IF(PaymentSchedule[[#This Row],[PMT NO]]&lt;&gt;"",PaymentSchedule[[#This Row],[TOTAL PAYMENT]]-PaymentSchedule[[#This Row],[INTEREST]],"")</f>
        <v>399.21846613193276</v>
      </c>
      <c r="I238" s="6">
        <f>IF(PaymentSchedule[[#This Row],[PMT NO]]&lt;&gt;"",PaymentSchedule[[#This Row],[BEGINNING BALANCE]]*(InterestRate/PaymentsPerYear),"")</f>
        <v>440.15226908192045</v>
      </c>
      <c r="J238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87631.235350252158</v>
      </c>
      <c r="K238" s="6">
        <f>IF(PaymentSchedule[[#This Row],[PMT NO]]&lt;&gt;"",SUM(INDEX(PaymentSchedule[INTEREST],1,1):PaymentSchedule[[#This Row],[INTEREST]]),"")</f>
        <v>125577.83121558909</v>
      </c>
    </row>
    <row r="239" spans="2:11" x14ac:dyDescent="0.2">
      <c r="B239" s="4">
        <f>IF(LoanIsGood,IF(ROW()-ROW(PaymentSchedule[[#Headers],[PMT NO]])&gt;ScheduledNumberOfPayments,"",ROW()-ROW(PaymentSchedule[[#Headers],[PMT NO]])),"")</f>
        <v>213</v>
      </c>
      <c r="C239" s="5">
        <f>IF(PaymentSchedule[[#This Row],[PMT NO]]&lt;&gt;"",EOMONTH(LoanStartDate,ROW(PaymentSchedule[[#This Row],[PMT NO]])-ROW(PaymentSchedule[[#Headers],[PMT NO]])-2)+DAY(LoanStartDate),"")</f>
        <v>52505</v>
      </c>
      <c r="D239" s="6">
        <f>IF(PaymentSchedule[[#This Row],[PMT NO]]&lt;&gt;"",IF(ROW()-ROW(PaymentSchedule[[#Headers],[BEGINNING BALANCE]])=1,LoanAmount,INDEX(PaymentSchedule[ENDING BALANCE],ROW()-ROW(PaymentSchedule[[#Headers],[BEGINNING BALANCE]])-1)),"")</f>
        <v>87631.235350252158</v>
      </c>
      <c r="E239" s="6">
        <f>IF(PaymentSchedule[[#This Row],[PMT NO]]&lt;&gt;"",ScheduledPayment,"")</f>
        <v>839.37073521385321</v>
      </c>
      <c r="F239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239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239" s="6">
        <f>IF(PaymentSchedule[[#This Row],[PMT NO]]&lt;&gt;"",PaymentSchedule[[#This Row],[TOTAL PAYMENT]]-PaymentSchedule[[#This Row],[INTEREST]],"")</f>
        <v>401.21455846259244</v>
      </c>
      <c r="I239" s="6">
        <f>IF(PaymentSchedule[[#This Row],[PMT NO]]&lt;&gt;"",PaymentSchedule[[#This Row],[BEGINNING BALANCE]]*(InterestRate/PaymentsPerYear),"")</f>
        <v>438.15617675126077</v>
      </c>
      <c r="J239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87230.02079178956</v>
      </c>
      <c r="K239" s="6">
        <f>IF(PaymentSchedule[[#This Row],[PMT NO]]&lt;&gt;"",SUM(INDEX(PaymentSchedule[INTEREST],1,1):PaymentSchedule[[#This Row],[INTEREST]]),"")</f>
        <v>126015.98739234035</v>
      </c>
    </row>
    <row r="240" spans="2:11" x14ac:dyDescent="0.2">
      <c r="B240" s="4">
        <f>IF(LoanIsGood,IF(ROW()-ROW(PaymentSchedule[[#Headers],[PMT NO]])&gt;ScheduledNumberOfPayments,"",ROW()-ROW(PaymentSchedule[[#Headers],[PMT NO]])),"")</f>
        <v>214</v>
      </c>
      <c r="C240" s="5">
        <f>IF(PaymentSchedule[[#This Row],[PMT NO]]&lt;&gt;"",EOMONTH(LoanStartDate,ROW(PaymentSchedule[[#This Row],[PMT NO]])-ROW(PaymentSchedule[[#Headers],[PMT NO]])-2)+DAY(LoanStartDate),"")</f>
        <v>52536</v>
      </c>
      <c r="D240" s="6">
        <f>IF(PaymentSchedule[[#This Row],[PMT NO]]&lt;&gt;"",IF(ROW()-ROW(PaymentSchedule[[#Headers],[BEGINNING BALANCE]])=1,LoanAmount,INDEX(PaymentSchedule[ENDING BALANCE],ROW()-ROW(PaymentSchedule[[#Headers],[BEGINNING BALANCE]])-1)),"")</f>
        <v>87230.02079178956</v>
      </c>
      <c r="E240" s="6">
        <f>IF(PaymentSchedule[[#This Row],[PMT NO]]&lt;&gt;"",ScheduledPayment,"")</f>
        <v>839.37073521385321</v>
      </c>
      <c r="F240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240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240" s="6">
        <f>IF(PaymentSchedule[[#This Row],[PMT NO]]&lt;&gt;"",PaymentSchedule[[#This Row],[TOTAL PAYMENT]]-PaymentSchedule[[#This Row],[INTEREST]],"")</f>
        <v>403.22063125490541</v>
      </c>
      <c r="I240" s="6">
        <f>IF(PaymentSchedule[[#This Row],[PMT NO]]&lt;&gt;"",PaymentSchedule[[#This Row],[BEGINNING BALANCE]]*(InterestRate/PaymentsPerYear),"")</f>
        <v>436.1501039589478</v>
      </c>
      <c r="J240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86826.800160534651</v>
      </c>
      <c r="K240" s="6">
        <f>IF(PaymentSchedule[[#This Row],[PMT NO]]&lt;&gt;"",SUM(INDEX(PaymentSchedule[INTEREST],1,1):PaymentSchedule[[#This Row],[INTEREST]]),"")</f>
        <v>126452.1374962993</v>
      </c>
    </row>
    <row r="241" spans="2:11" x14ac:dyDescent="0.2">
      <c r="B241" s="4">
        <f>IF(LoanIsGood,IF(ROW()-ROW(PaymentSchedule[[#Headers],[PMT NO]])&gt;ScheduledNumberOfPayments,"",ROW()-ROW(PaymentSchedule[[#Headers],[PMT NO]])),"")</f>
        <v>215</v>
      </c>
      <c r="C241" s="5">
        <f>IF(PaymentSchedule[[#This Row],[PMT NO]]&lt;&gt;"",EOMONTH(LoanStartDate,ROW(PaymentSchedule[[#This Row],[PMT NO]])-ROW(PaymentSchedule[[#Headers],[PMT NO]])-2)+DAY(LoanStartDate),"")</f>
        <v>52566</v>
      </c>
      <c r="D241" s="6">
        <f>IF(PaymentSchedule[[#This Row],[PMT NO]]&lt;&gt;"",IF(ROW()-ROW(PaymentSchedule[[#Headers],[BEGINNING BALANCE]])=1,LoanAmount,INDEX(PaymentSchedule[ENDING BALANCE],ROW()-ROW(PaymentSchedule[[#Headers],[BEGINNING BALANCE]])-1)),"")</f>
        <v>86826.800160534651</v>
      </c>
      <c r="E241" s="6">
        <f>IF(PaymentSchedule[[#This Row],[PMT NO]]&lt;&gt;"",ScheduledPayment,"")</f>
        <v>839.37073521385321</v>
      </c>
      <c r="F241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241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241" s="6">
        <f>IF(PaymentSchedule[[#This Row],[PMT NO]]&lt;&gt;"",PaymentSchedule[[#This Row],[TOTAL PAYMENT]]-PaymentSchedule[[#This Row],[INTEREST]],"")</f>
        <v>405.23673441117995</v>
      </c>
      <c r="I241" s="6">
        <f>IF(PaymentSchedule[[#This Row],[PMT NO]]&lt;&gt;"",PaymentSchedule[[#This Row],[BEGINNING BALANCE]]*(InterestRate/PaymentsPerYear),"")</f>
        <v>434.13400080267326</v>
      </c>
      <c r="J241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86421.563426123466</v>
      </c>
      <c r="K241" s="6">
        <f>IF(PaymentSchedule[[#This Row],[PMT NO]]&lt;&gt;"",SUM(INDEX(PaymentSchedule[INTEREST],1,1):PaymentSchedule[[#This Row],[INTEREST]]),"")</f>
        <v>126886.27149710197</v>
      </c>
    </row>
    <row r="242" spans="2:11" x14ac:dyDescent="0.2">
      <c r="B242" s="4">
        <f>IF(LoanIsGood,IF(ROW()-ROW(PaymentSchedule[[#Headers],[PMT NO]])&gt;ScheduledNumberOfPayments,"",ROW()-ROW(PaymentSchedule[[#Headers],[PMT NO]])),"")</f>
        <v>216</v>
      </c>
      <c r="C242" s="5">
        <f>IF(PaymentSchedule[[#This Row],[PMT NO]]&lt;&gt;"",EOMONTH(LoanStartDate,ROW(PaymentSchedule[[#This Row],[PMT NO]])-ROW(PaymentSchedule[[#Headers],[PMT NO]])-2)+DAY(LoanStartDate),"")</f>
        <v>52597</v>
      </c>
      <c r="D242" s="6">
        <f>IF(PaymentSchedule[[#This Row],[PMT NO]]&lt;&gt;"",IF(ROW()-ROW(PaymentSchedule[[#Headers],[BEGINNING BALANCE]])=1,LoanAmount,INDEX(PaymentSchedule[ENDING BALANCE],ROW()-ROW(PaymentSchedule[[#Headers],[BEGINNING BALANCE]])-1)),"")</f>
        <v>86421.563426123466</v>
      </c>
      <c r="E242" s="6">
        <f>IF(PaymentSchedule[[#This Row],[PMT NO]]&lt;&gt;"",ScheduledPayment,"")</f>
        <v>839.37073521385321</v>
      </c>
      <c r="F242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242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242" s="6">
        <f>IF(PaymentSchedule[[#This Row],[PMT NO]]&lt;&gt;"",PaymentSchedule[[#This Row],[TOTAL PAYMENT]]-PaymentSchedule[[#This Row],[INTEREST]],"")</f>
        <v>407.26291808323589</v>
      </c>
      <c r="I242" s="6">
        <f>IF(PaymentSchedule[[#This Row],[PMT NO]]&lt;&gt;"",PaymentSchedule[[#This Row],[BEGINNING BALANCE]]*(InterestRate/PaymentsPerYear),"")</f>
        <v>432.10781713061732</v>
      </c>
      <c r="J242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86014.300508040236</v>
      </c>
      <c r="K242" s="6">
        <f>IF(PaymentSchedule[[#This Row],[PMT NO]]&lt;&gt;"",SUM(INDEX(PaymentSchedule[INTEREST],1,1):PaymentSchedule[[#This Row],[INTEREST]]),"")</f>
        <v>127318.37931423259</v>
      </c>
    </row>
    <row r="243" spans="2:11" x14ac:dyDescent="0.2">
      <c r="B243" s="4">
        <f>IF(LoanIsGood,IF(ROW()-ROW(PaymentSchedule[[#Headers],[PMT NO]])&gt;ScheduledNumberOfPayments,"",ROW()-ROW(PaymentSchedule[[#Headers],[PMT NO]])),"")</f>
        <v>217</v>
      </c>
      <c r="C243" s="5">
        <f>IF(PaymentSchedule[[#This Row],[PMT NO]]&lt;&gt;"",EOMONTH(LoanStartDate,ROW(PaymentSchedule[[#This Row],[PMT NO]])-ROW(PaymentSchedule[[#Headers],[PMT NO]])-2)+DAY(LoanStartDate),"")</f>
        <v>52628</v>
      </c>
      <c r="D243" s="6">
        <f>IF(PaymentSchedule[[#This Row],[PMT NO]]&lt;&gt;"",IF(ROW()-ROW(PaymentSchedule[[#Headers],[BEGINNING BALANCE]])=1,LoanAmount,INDEX(PaymentSchedule[ENDING BALANCE],ROW()-ROW(PaymentSchedule[[#Headers],[BEGINNING BALANCE]])-1)),"")</f>
        <v>86014.300508040236</v>
      </c>
      <c r="E243" s="6">
        <f>IF(PaymentSchedule[[#This Row],[PMT NO]]&lt;&gt;"",ScheduledPayment,"")</f>
        <v>839.37073521385321</v>
      </c>
      <c r="F243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243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243" s="6">
        <f>IF(PaymentSchedule[[#This Row],[PMT NO]]&lt;&gt;"",PaymentSchedule[[#This Row],[TOTAL PAYMENT]]-PaymentSchedule[[#This Row],[INTEREST]],"")</f>
        <v>409.299232673652</v>
      </c>
      <c r="I243" s="6">
        <f>IF(PaymentSchedule[[#This Row],[PMT NO]]&lt;&gt;"",PaymentSchedule[[#This Row],[BEGINNING BALANCE]]*(InterestRate/PaymentsPerYear),"")</f>
        <v>430.07150254020121</v>
      </c>
      <c r="J243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85605.00127536658</v>
      </c>
      <c r="K243" s="6">
        <f>IF(PaymentSchedule[[#This Row],[PMT NO]]&lt;&gt;"",SUM(INDEX(PaymentSchedule[INTEREST],1,1):PaymentSchedule[[#This Row],[INTEREST]]),"")</f>
        <v>127748.45081677279</v>
      </c>
    </row>
    <row r="244" spans="2:11" x14ac:dyDescent="0.2">
      <c r="B244" s="4">
        <f>IF(LoanIsGood,IF(ROW()-ROW(PaymentSchedule[[#Headers],[PMT NO]])&gt;ScheduledNumberOfPayments,"",ROW()-ROW(PaymentSchedule[[#Headers],[PMT NO]])),"")</f>
        <v>218</v>
      </c>
      <c r="C244" s="5">
        <f>IF(PaymentSchedule[[#This Row],[PMT NO]]&lt;&gt;"",EOMONTH(LoanStartDate,ROW(PaymentSchedule[[#This Row],[PMT NO]])-ROW(PaymentSchedule[[#Headers],[PMT NO]])-2)+DAY(LoanStartDate),"")</f>
        <v>52657</v>
      </c>
      <c r="D244" s="6">
        <f>IF(PaymentSchedule[[#This Row],[PMT NO]]&lt;&gt;"",IF(ROW()-ROW(PaymentSchedule[[#Headers],[BEGINNING BALANCE]])=1,LoanAmount,INDEX(PaymentSchedule[ENDING BALANCE],ROW()-ROW(PaymentSchedule[[#Headers],[BEGINNING BALANCE]])-1)),"")</f>
        <v>85605.00127536658</v>
      </c>
      <c r="E244" s="6">
        <f>IF(PaymentSchedule[[#This Row],[PMT NO]]&lt;&gt;"",ScheduledPayment,"")</f>
        <v>839.37073521385321</v>
      </c>
      <c r="F244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244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244" s="6">
        <f>IF(PaymentSchedule[[#This Row],[PMT NO]]&lt;&gt;"",PaymentSchedule[[#This Row],[TOTAL PAYMENT]]-PaymentSchedule[[#This Row],[INTEREST]],"")</f>
        <v>411.34572883702032</v>
      </c>
      <c r="I244" s="6">
        <f>IF(PaymentSchedule[[#This Row],[PMT NO]]&lt;&gt;"",PaymentSchedule[[#This Row],[BEGINNING BALANCE]]*(InterestRate/PaymentsPerYear),"")</f>
        <v>428.02500637683289</v>
      </c>
      <c r="J244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85193.655546529553</v>
      </c>
      <c r="K244" s="6">
        <f>IF(PaymentSchedule[[#This Row],[PMT NO]]&lt;&gt;"",SUM(INDEX(PaymentSchedule[INTEREST],1,1):PaymentSchedule[[#This Row],[INTEREST]]),"")</f>
        <v>128176.47582314962</v>
      </c>
    </row>
    <row r="245" spans="2:11" x14ac:dyDescent="0.2">
      <c r="B245" s="4">
        <f>IF(LoanIsGood,IF(ROW()-ROW(PaymentSchedule[[#Headers],[PMT NO]])&gt;ScheduledNumberOfPayments,"",ROW()-ROW(PaymentSchedule[[#Headers],[PMT NO]])),"")</f>
        <v>219</v>
      </c>
      <c r="C245" s="5">
        <f>IF(PaymentSchedule[[#This Row],[PMT NO]]&lt;&gt;"",EOMONTH(LoanStartDate,ROW(PaymentSchedule[[#This Row],[PMT NO]])-ROW(PaymentSchedule[[#Headers],[PMT NO]])-2)+DAY(LoanStartDate),"")</f>
        <v>52688</v>
      </c>
      <c r="D245" s="6">
        <f>IF(PaymentSchedule[[#This Row],[PMT NO]]&lt;&gt;"",IF(ROW()-ROW(PaymentSchedule[[#Headers],[BEGINNING BALANCE]])=1,LoanAmount,INDEX(PaymentSchedule[ENDING BALANCE],ROW()-ROW(PaymentSchedule[[#Headers],[BEGINNING BALANCE]])-1)),"")</f>
        <v>85193.655546529553</v>
      </c>
      <c r="E245" s="6">
        <f>IF(PaymentSchedule[[#This Row],[PMT NO]]&lt;&gt;"",ScheduledPayment,"")</f>
        <v>839.37073521385321</v>
      </c>
      <c r="F245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245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245" s="6">
        <f>IF(PaymentSchedule[[#This Row],[PMT NO]]&lt;&gt;"",PaymentSchedule[[#This Row],[TOTAL PAYMENT]]-PaymentSchedule[[#This Row],[INTEREST]],"")</f>
        <v>413.40245748120543</v>
      </c>
      <c r="I245" s="6">
        <f>IF(PaymentSchedule[[#This Row],[PMT NO]]&lt;&gt;"",PaymentSchedule[[#This Row],[BEGINNING BALANCE]]*(InterestRate/PaymentsPerYear),"")</f>
        <v>425.96827773264778</v>
      </c>
      <c r="J245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84780.253089048347</v>
      </c>
      <c r="K245" s="6">
        <f>IF(PaymentSchedule[[#This Row],[PMT NO]]&lt;&gt;"",SUM(INDEX(PaymentSchedule[INTEREST],1,1):PaymentSchedule[[#This Row],[INTEREST]]),"")</f>
        <v>128602.44410088228</v>
      </c>
    </row>
    <row r="246" spans="2:11" x14ac:dyDescent="0.2">
      <c r="B246" s="4">
        <f>IF(LoanIsGood,IF(ROW()-ROW(PaymentSchedule[[#Headers],[PMT NO]])&gt;ScheduledNumberOfPayments,"",ROW()-ROW(PaymentSchedule[[#Headers],[PMT NO]])),"")</f>
        <v>220</v>
      </c>
      <c r="C246" s="5">
        <f>IF(PaymentSchedule[[#This Row],[PMT NO]]&lt;&gt;"",EOMONTH(LoanStartDate,ROW(PaymentSchedule[[#This Row],[PMT NO]])-ROW(PaymentSchedule[[#Headers],[PMT NO]])-2)+DAY(LoanStartDate),"")</f>
        <v>52718</v>
      </c>
      <c r="D246" s="6">
        <f>IF(PaymentSchedule[[#This Row],[PMT NO]]&lt;&gt;"",IF(ROW()-ROW(PaymentSchedule[[#Headers],[BEGINNING BALANCE]])=1,LoanAmount,INDEX(PaymentSchedule[ENDING BALANCE],ROW()-ROW(PaymentSchedule[[#Headers],[BEGINNING BALANCE]])-1)),"")</f>
        <v>84780.253089048347</v>
      </c>
      <c r="E246" s="6">
        <f>IF(PaymentSchedule[[#This Row],[PMT NO]]&lt;&gt;"",ScheduledPayment,"")</f>
        <v>839.37073521385321</v>
      </c>
      <c r="F246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246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246" s="6">
        <f>IF(PaymentSchedule[[#This Row],[PMT NO]]&lt;&gt;"",PaymentSchedule[[#This Row],[TOTAL PAYMENT]]-PaymentSchedule[[#This Row],[INTEREST]],"")</f>
        <v>415.46946976861148</v>
      </c>
      <c r="I246" s="6">
        <f>IF(PaymentSchedule[[#This Row],[PMT NO]]&lt;&gt;"",PaymentSchedule[[#This Row],[BEGINNING BALANCE]]*(InterestRate/PaymentsPerYear),"")</f>
        <v>423.90126544524173</v>
      </c>
      <c r="J246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84364.78361927974</v>
      </c>
      <c r="K246" s="6">
        <f>IF(PaymentSchedule[[#This Row],[PMT NO]]&lt;&gt;"",SUM(INDEX(PaymentSchedule[INTEREST],1,1):PaymentSchedule[[#This Row],[INTEREST]]),"")</f>
        <v>129026.34536632751</v>
      </c>
    </row>
    <row r="247" spans="2:11" x14ac:dyDescent="0.2">
      <c r="B247" s="4">
        <f>IF(LoanIsGood,IF(ROW()-ROW(PaymentSchedule[[#Headers],[PMT NO]])&gt;ScheduledNumberOfPayments,"",ROW()-ROW(PaymentSchedule[[#Headers],[PMT NO]])),"")</f>
        <v>221</v>
      </c>
      <c r="C247" s="5">
        <f>IF(PaymentSchedule[[#This Row],[PMT NO]]&lt;&gt;"",EOMONTH(LoanStartDate,ROW(PaymentSchedule[[#This Row],[PMT NO]])-ROW(PaymentSchedule[[#Headers],[PMT NO]])-2)+DAY(LoanStartDate),"")</f>
        <v>52749</v>
      </c>
      <c r="D247" s="6">
        <f>IF(PaymentSchedule[[#This Row],[PMT NO]]&lt;&gt;"",IF(ROW()-ROW(PaymentSchedule[[#Headers],[BEGINNING BALANCE]])=1,LoanAmount,INDEX(PaymentSchedule[ENDING BALANCE],ROW()-ROW(PaymentSchedule[[#Headers],[BEGINNING BALANCE]])-1)),"")</f>
        <v>84364.78361927974</v>
      </c>
      <c r="E247" s="6">
        <f>IF(PaymentSchedule[[#This Row],[PMT NO]]&lt;&gt;"",ScheduledPayment,"")</f>
        <v>839.37073521385321</v>
      </c>
      <c r="F247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247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247" s="6">
        <f>IF(PaymentSchedule[[#This Row],[PMT NO]]&lt;&gt;"",PaymentSchedule[[#This Row],[TOTAL PAYMENT]]-PaymentSchedule[[#This Row],[INTEREST]],"")</f>
        <v>417.54681711745451</v>
      </c>
      <c r="I247" s="6">
        <f>IF(PaymentSchedule[[#This Row],[PMT NO]]&lt;&gt;"",PaymentSchedule[[#This Row],[BEGINNING BALANCE]]*(InterestRate/PaymentsPerYear),"")</f>
        <v>421.8239180963987</v>
      </c>
      <c r="J247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83947.236802162282</v>
      </c>
      <c r="K247" s="6">
        <f>IF(PaymentSchedule[[#This Row],[PMT NO]]&lt;&gt;"",SUM(INDEX(PaymentSchedule[INTEREST],1,1):PaymentSchedule[[#This Row],[INTEREST]]),"")</f>
        <v>129448.16928442392</v>
      </c>
    </row>
    <row r="248" spans="2:11" x14ac:dyDescent="0.2">
      <c r="B248" s="4">
        <f>IF(LoanIsGood,IF(ROW()-ROW(PaymentSchedule[[#Headers],[PMT NO]])&gt;ScheduledNumberOfPayments,"",ROW()-ROW(PaymentSchedule[[#Headers],[PMT NO]])),"")</f>
        <v>222</v>
      </c>
      <c r="C248" s="5">
        <f>IF(PaymentSchedule[[#This Row],[PMT NO]]&lt;&gt;"",EOMONTH(LoanStartDate,ROW(PaymentSchedule[[#This Row],[PMT NO]])-ROW(PaymentSchedule[[#Headers],[PMT NO]])-2)+DAY(LoanStartDate),"")</f>
        <v>52779</v>
      </c>
      <c r="D248" s="6">
        <f>IF(PaymentSchedule[[#This Row],[PMT NO]]&lt;&gt;"",IF(ROW()-ROW(PaymentSchedule[[#Headers],[BEGINNING BALANCE]])=1,LoanAmount,INDEX(PaymentSchedule[ENDING BALANCE],ROW()-ROW(PaymentSchedule[[#Headers],[BEGINNING BALANCE]])-1)),"")</f>
        <v>83947.236802162282</v>
      </c>
      <c r="E248" s="6">
        <f>IF(PaymentSchedule[[#This Row],[PMT NO]]&lt;&gt;"",ScheduledPayment,"")</f>
        <v>839.37073521385321</v>
      </c>
      <c r="F248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248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248" s="6">
        <f>IF(PaymentSchedule[[#This Row],[PMT NO]]&lt;&gt;"",PaymentSchedule[[#This Row],[TOTAL PAYMENT]]-PaymentSchedule[[#This Row],[INTEREST]],"")</f>
        <v>419.63455120304178</v>
      </c>
      <c r="I248" s="6">
        <f>IF(PaymentSchedule[[#This Row],[PMT NO]]&lt;&gt;"",PaymentSchedule[[#This Row],[BEGINNING BALANCE]]*(InterestRate/PaymentsPerYear),"")</f>
        <v>419.73618401081143</v>
      </c>
      <c r="J248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83527.602250959244</v>
      </c>
      <c r="K248" s="6">
        <f>IF(PaymentSchedule[[#This Row],[PMT NO]]&lt;&gt;"",SUM(INDEX(PaymentSchedule[INTEREST],1,1):PaymentSchedule[[#This Row],[INTEREST]]),"")</f>
        <v>129867.90546843472</v>
      </c>
    </row>
    <row r="249" spans="2:11" x14ac:dyDescent="0.2">
      <c r="B249" s="4">
        <f>IF(LoanIsGood,IF(ROW()-ROW(PaymentSchedule[[#Headers],[PMT NO]])&gt;ScheduledNumberOfPayments,"",ROW()-ROW(PaymentSchedule[[#Headers],[PMT NO]])),"")</f>
        <v>223</v>
      </c>
      <c r="C249" s="5">
        <f>IF(PaymentSchedule[[#This Row],[PMT NO]]&lt;&gt;"",EOMONTH(LoanStartDate,ROW(PaymentSchedule[[#This Row],[PMT NO]])-ROW(PaymentSchedule[[#Headers],[PMT NO]])-2)+DAY(LoanStartDate),"")</f>
        <v>52810</v>
      </c>
      <c r="D249" s="6">
        <f>IF(PaymentSchedule[[#This Row],[PMT NO]]&lt;&gt;"",IF(ROW()-ROW(PaymentSchedule[[#Headers],[BEGINNING BALANCE]])=1,LoanAmount,INDEX(PaymentSchedule[ENDING BALANCE],ROW()-ROW(PaymentSchedule[[#Headers],[BEGINNING BALANCE]])-1)),"")</f>
        <v>83527.602250959244</v>
      </c>
      <c r="E249" s="6">
        <f>IF(PaymentSchedule[[#This Row],[PMT NO]]&lt;&gt;"",ScheduledPayment,"")</f>
        <v>839.37073521385321</v>
      </c>
      <c r="F249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249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249" s="6">
        <f>IF(PaymentSchedule[[#This Row],[PMT NO]]&lt;&gt;"",PaymentSchedule[[#This Row],[TOTAL PAYMENT]]-PaymentSchedule[[#This Row],[INTEREST]],"")</f>
        <v>421.73272395905695</v>
      </c>
      <c r="I249" s="6">
        <f>IF(PaymentSchedule[[#This Row],[PMT NO]]&lt;&gt;"",PaymentSchedule[[#This Row],[BEGINNING BALANCE]]*(InterestRate/PaymentsPerYear),"")</f>
        <v>417.63801125479625</v>
      </c>
      <c r="J249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83105.869527000192</v>
      </c>
      <c r="K249" s="6">
        <f>IF(PaymentSchedule[[#This Row],[PMT NO]]&lt;&gt;"",SUM(INDEX(PaymentSchedule[INTEREST],1,1):PaymentSchedule[[#This Row],[INTEREST]]),"")</f>
        <v>130285.54347968951</v>
      </c>
    </row>
    <row r="250" spans="2:11" x14ac:dyDescent="0.2">
      <c r="B250" s="4">
        <f>IF(LoanIsGood,IF(ROW()-ROW(PaymentSchedule[[#Headers],[PMT NO]])&gt;ScheduledNumberOfPayments,"",ROW()-ROW(PaymentSchedule[[#Headers],[PMT NO]])),"")</f>
        <v>224</v>
      </c>
      <c r="C250" s="5">
        <f>IF(PaymentSchedule[[#This Row],[PMT NO]]&lt;&gt;"",EOMONTH(LoanStartDate,ROW(PaymentSchedule[[#This Row],[PMT NO]])-ROW(PaymentSchedule[[#Headers],[PMT NO]])-2)+DAY(LoanStartDate),"")</f>
        <v>52841</v>
      </c>
      <c r="D250" s="6">
        <f>IF(PaymentSchedule[[#This Row],[PMT NO]]&lt;&gt;"",IF(ROW()-ROW(PaymentSchedule[[#Headers],[BEGINNING BALANCE]])=1,LoanAmount,INDEX(PaymentSchedule[ENDING BALANCE],ROW()-ROW(PaymentSchedule[[#Headers],[BEGINNING BALANCE]])-1)),"")</f>
        <v>83105.869527000192</v>
      </c>
      <c r="E250" s="6">
        <f>IF(PaymentSchedule[[#This Row],[PMT NO]]&lt;&gt;"",ScheduledPayment,"")</f>
        <v>839.37073521385321</v>
      </c>
      <c r="F250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250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250" s="6">
        <f>IF(PaymentSchedule[[#This Row],[PMT NO]]&lt;&gt;"",PaymentSchedule[[#This Row],[TOTAL PAYMENT]]-PaymentSchedule[[#This Row],[INTEREST]],"")</f>
        <v>423.84138757885222</v>
      </c>
      <c r="I250" s="6">
        <f>IF(PaymentSchedule[[#This Row],[PMT NO]]&lt;&gt;"",PaymentSchedule[[#This Row],[BEGINNING BALANCE]]*(InterestRate/PaymentsPerYear),"")</f>
        <v>415.52934763500099</v>
      </c>
      <c r="J250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82682.028139421338</v>
      </c>
      <c r="K250" s="6">
        <f>IF(PaymentSchedule[[#This Row],[PMT NO]]&lt;&gt;"",SUM(INDEX(PaymentSchedule[INTEREST],1,1):PaymentSchedule[[#This Row],[INTEREST]]),"")</f>
        <v>130701.07282732452</v>
      </c>
    </row>
    <row r="251" spans="2:11" x14ac:dyDescent="0.2">
      <c r="B251" s="4">
        <f>IF(LoanIsGood,IF(ROW()-ROW(PaymentSchedule[[#Headers],[PMT NO]])&gt;ScheduledNumberOfPayments,"",ROW()-ROW(PaymentSchedule[[#Headers],[PMT NO]])),"")</f>
        <v>225</v>
      </c>
      <c r="C251" s="5">
        <f>IF(PaymentSchedule[[#This Row],[PMT NO]]&lt;&gt;"",EOMONTH(LoanStartDate,ROW(PaymentSchedule[[#This Row],[PMT NO]])-ROW(PaymentSchedule[[#Headers],[PMT NO]])-2)+DAY(LoanStartDate),"")</f>
        <v>52871</v>
      </c>
      <c r="D251" s="6">
        <f>IF(PaymentSchedule[[#This Row],[PMT NO]]&lt;&gt;"",IF(ROW()-ROW(PaymentSchedule[[#Headers],[BEGINNING BALANCE]])=1,LoanAmount,INDEX(PaymentSchedule[ENDING BALANCE],ROW()-ROW(PaymentSchedule[[#Headers],[BEGINNING BALANCE]])-1)),"")</f>
        <v>82682.028139421338</v>
      </c>
      <c r="E251" s="6">
        <f>IF(PaymentSchedule[[#This Row],[PMT NO]]&lt;&gt;"",ScheduledPayment,"")</f>
        <v>839.37073521385321</v>
      </c>
      <c r="F251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251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251" s="6">
        <f>IF(PaymentSchedule[[#This Row],[PMT NO]]&lt;&gt;"",PaymentSchedule[[#This Row],[TOTAL PAYMENT]]-PaymentSchedule[[#This Row],[INTEREST]],"")</f>
        <v>425.96059451674648</v>
      </c>
      <c r="I251" s="6">
        <f>IF(PaymentSchedule[[#This Row],[PMT NO]]&lt;&gt;"",PaymentSchedule[[#This Row],[BEGINNING BALANCE]]*(InterestRate/PaymentsPerYear),"")</f>
        <v>413.41014069710673</v>
      </c>
      <c r="J251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82256.067544904596</v>
      </c>
      <c r="K251" s="6">
        <f>IF(PaymentSchedule[[#This Row],[PMT NO]]&lt;&gt;"",SUM(INDEX(PaymentSchedule[INTEREST],1,1):PaymentSchedule[[#This Row],[INTEREST]]),"")</f>
        <v>131114.48296802162</v>
      </c>
    </row>
    <row r="252" spans="2:11" x14ac:dyDescent="0.2">
      <c r="B252" s="4">
        <f>IF(LoanIsGood,IF(ROW()-ROW(PaymentSchedule[[#Headers],[PMT NO]])&gt;ScheduledNumberOfPayments,"",ROW()-ROW(PaymentSchedule[[#Headers],[PMT NO]])),"")</f>
        <v>226</v>
      </c>
      <c r="C252" s="5">
        <f>IF(PaymentSchedule[[#This Row],[PMT NO]]&lt;&gt;"",EOMONTH(LoanStartDate,ROW(PaymentSchedule[[#This Row],[PMT NO]])-ROW(PaymentSchedule[[#Headers],[PMT NO]])-2)+DAY(LoanStartDate),"")</f>
        <v>52902</v>
      </c>
      <c r="D252" s="6">
        <f>IF(PaymentSchedule[[#This Row],[PMT NO]]&lt;&gt;"",IF(ROW()-ROW(PaymentSchedule[[#Headers],[BEGINNING BALANCE]])=1,LoanAmount,INDEX(PaymentSchedule[ENDING BALANCE],ROW()-ROW(PaymentSchedule[[#Headers],[BEGINNING BALANCE]])-1)),"")</f>
        <v>82256.067544904596</v>
      </c>
      <c r="E252" s="6">
        <f>IF(PaymentSchedule[[#This Row],[PMT NO]]&lt;&gt;"",ScheduledPayment,"")</f>
        <v>839.37073521385321</v>
      </c>
      <c r="F252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252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252" s="6">
        <f>IF(PaymentSchedule[[#This Row],[PMT NO]]&lt;&gt;"",PaymentSchedule[[#This Row],[TOTAL PAYMENT]]-PaymentSchedule[[#This Row],[INTEREST]],"")</f>
        <v>428.0903974893302</v>
      </c>
      <c r="I252" s="6">
        <f>IF(PaymentSchedule[[#This Row],[PMT NO]]&lt;&gt;"",PaymentSchedule[[#This Row],[BEGINNING BALANCE]]*(InterestRate/PaymentsPerYear),"")</f>
        <v>411.28033772452301</v>
      </c>
      <c r="J252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81827.977147415266</v>
      </c>
      <c r="K252" s="6">
        <f>IF(PaymentSchedule[[#This Row],[PMT NO]]&lt;&gt;"",SUM(INDEX(PaymentSchedule[INTEREST],1,1):PaymentSchedule[[#This Row],[INTEREST]]),"")</f>
        <v>131525.76330574614</v>
      </c>
    </row>
    <row r="253" spans="2:11" x14ac:dyDescent="0.2">
      <c r="B253" s="4">
        <f>IF(LoanIsGood,IF(ROW()-ROW(PaymentSchedule[[#Headers],[PMT NO]])&gt;ScheduledNumberOfPayments,"",ROW()-ROW(PaymentSchedule[[#Headers],[PMT NO]])),"")</f>
        <v>227</v>
      </c>
      <c r="C253" s="5">
        <f>IF(PaymentSchedule[[#This Row],[PMT NO]]&lt;&gt;"",EOMONTH(LoanStartDate,ROW(PaymentSchedule[[#This Row],[PMT NO]])-ROW(PaymentSchedule[[#Headers],[PMT NO]])-2)+DAY(LoanStartDate),"")</f>
        <v>52932</v>
      </c>
      <c r="D253" s="6">
        <f>IF(PaymentSchedule[[#This Row],[PMT NO]]&lt;&gt;"",IF(ROW()-ROW(PaymentSchedule[[#Headers],[BEGINNING BALANCE]])=1,LoanAmount,INDEX(PaymentSchedule[ENDING BALANCE],ROW()-ROW(PaymentSchedule[[#Headers],[BEGINNING BALANCE]])-1)),"")</f>
        <v>81827.977147415266</v>
      </c>
      <c r="E253" s="6">
        <f>IF(PaymentSchedule[[#This Row],[PMT NO]]&lt;&gt;"",ScheduledPayment,"")</f>
        <v>839.37073521385321</v>
      </c>
      <c r="F253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253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253" s="6">
        <f>IF(PaymentSchedule[[#This Row],[PMT NO]]&lt;&gt;"",PaymentSchedule[[#This Row],[TOTAL PAYMENT]]-PaymentSchedule[[#This Row],[INTEREST]],"")</f>
        <v>430.23084947677688</v>
      </c>
      <c r="I253" s="6">
        <f>IF(PaymentSchedule[[#This Row],[PMT NO]]&lt;&gt;"",PaymentSchedule[[#This Row],[BEGINNING BALANCE]]*(InterestRate/PaymentsPerYear),"")</f>
        <v>409.13988573707633</v>
      </c>
      <c r="J253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81397.746297938487</v>
      </c>
      <c r="K253" s="6">
        <f>IF(PaymentSchedule[[#This Row],[PMT NO]]&lt;&gt;"",SUM(INDEX(PaymentSchedule[INTEREST],1,1):PaymentSchedule[[#This Row],[INTEREST]]),"")</f>
        <v>131934.9031914832</v>
      </c>
    </row>
    <row r="254" spans="2:11" x14ac:dyDescent="0.2">
      <c r="B254" s="4">
        <f>IF(LoanIsGood,IF(ROW()-ROW(PaymentSchedule[[#Headers],[PMT NO]])&gt;ScheduledNumberOfPayments,"",ROW()-ROW(PaymentSchedule[[#Headers],[PMT NO]])),"")</f>
        <v>228</v>
      </c>
      <c r="C254" s="5">
        <f>IF(PaymentSchedule[[#This Row],[PMT NO]]&lt;&gt;"",EOMONTH(LoanStartDate,ROW(PaymentSchedule[[#This Row],[PMT NO]])-ROW(PaymentSchedule[[#Headers],[PMT NO]])-2)+DAY(LoanStartDate),"")</f>
        <v>52963</v>
      </c>
      <c r="D254" s="6">
        <f>IF(PaymentSchedule[[#This Row],[PMT NO]]&lt;&gt;"",IF(ROW()-ROW(PaymentSchedule[[#Headers],[BEGINNING BALANCE]])=1,LoanAmount,INDEX(PaymentSchedule[ENDING BALANCE],ROW()-ROW(PaymentSchedule[[#Headers],[BEGINNING BALANCE]])-1)),"")</f>
        <v>81397.746297938487</v>
      </c>
      <c r="E254" s="6">
        <f>IF(PaymentSchedule[[#This Row],[PMT NO]]&lt;&gt;"",ScheduledPayment,"")</f>
        <v>839.37073521385321</v>
      </c>
      <c r="F254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254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254" s="6">
        <f>IF(PaymentSchedule[[#This Row],[PMT NO]]&lt;&gt;"",PaymentSchedule[[#This Row],[TOTAL PAYMENT]]-PaymentSchedule[[#This Row],[INTEREST]],"")</f>
        <v>432.38200372416077</v>
      </c>
      <c r="I254" s="6">
        <f>IF(PaymentSchedule[[#This Row],[PMT NO]]&lt;&gt;"",PaymentSchedule[[#This Row],[BEGINNING BALANCE]]*(InterestRate/PaymentsPerYear),"")</f>
        <v>406.98873148969244</v>
      </c>
      <c r="J254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80965.36429421432</v>
      </c>
      <c r="K254" s="6">
        <f>IF(PaymentSchedule[[#This Row],[PMT NO]]&lt;&gt;"",SUM(INDEX(PaymentSchedule[INTEREST],1,1):PaymentSchedule[[#This Row],[INTEREST]]),"")</f>
        <v>132341.89192297289</v>
      </c>
    </row>
    <row r="255" spans="2:11" x14ac:dyDescent="0.2">
      <c r="B255" s="4">
        <f>IF(LoanIsGood,IF(ROW()-ROW(PaymentSchedule[[#Headers],[PMT NO]])&gt;ScheduledNumberOfPayments,"",ROW()-ROW(PaymentSchedule[[#Headers],[PMT NO]])),"")</f>
        <v>229</v>
      </c>
      <c r="C255" s="5">
        <f>IF(PaymentSchedule[[#This Row],[PMT NO]]&lt;&gt;"",EOMONTH(LoanStartDate,ROW(PaymentSchedule[[#This Row],[PMT NO]])-ROW(PaymentSchedule[[#Headers],[PMT NO]])-2)+DAY(LoanStartDate),"")</f>
        <v>52994</v>
      </c>
      <c r="D255" s="6">
        <f>IF(PaymentSchedule[[#This Row],[PMT NO]]&lt;&gt;"",IF(ROW()-ROW(PaymentSchedule[[#Headers],[BEGINNING BALANCE]])=1,LoanAmount,INDEX(PaymentSchedule[ENDING BALANCE],ROW()-ROW(PaymentSchedule[[#Headers],[BEGINNING BALANCE]])-1)),"")</f>
        <v>80965.36429421432</v>
      </c>
      <c r="E255" s="6">
        <f>IF(PaymentSchedule[[#This Row],[PMT NO]]&lt;&gt;"",ScheduledPayment,"")</f>
        <v>839.37073521385321</v>
      </c>
      <c r="F255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255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255" s="6">
        <f>IF(PaymentSchedule[[#This Row],[PMT NO]]&lt;&gt;"",PaymentSchedule[[#This Row],[TOTAL PAYMENT]]-PaymentSchedule[[#This Row],[INTEREST]],"")</f>
        <v>434.54391374278163</v>
      </c>
      <c r="I255" s="6">
        <f>IF(PaymentSchedule[[#This Row],[PMT NO]]&lt;&gt;"",PaymentSchedule[[#This Row],[BEGINNING BALANCE]]*(InterestRate/PaymentsPerYear),"")</f>
        <v>404.82682147107158</v>
      </c>
      <c r="J255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80530.820380471545</v>
      </c>
      <c r="K255" s="6">
        <f>IF(PaymentSchedule[[#This Row],[PMT NO]]&lt;&gt;"",SUM(INDEX(PaymentSchedule[INTEREST],1,1):PaymentSchedule[[#This Row],[INTEREST]]),"")</f>
        <v>132746.71874444396</v>
      </c>
    </row>
    <row r="256" spans="2:11" x14ac:dyDescent="0.2">
      <c r="B256" s="4">
        <f>IF(LoanIsGood,IF(ROW()-ROW(PaymentSchedule[[#Headers],[PMT NO]])&gt;ScheduledNumberOfPayments,"",ROW()-ROW(PaymentSchedule[[#Headers],[PMT NO]])),"")</f>
        <v>230</v>
      </c>
      <c r="C256" s="5">
        <f>IF(PaymentSchedule[[#This Row],[PMT NO]]&lt;&gt;"",EOMONTH(LoanStartDate,ROW(PaymentSchedule[[#This Row],[PMT NO]])-ROW(PaymentSchedule[[#Headers],[PMT NO]])-2)+DAY(LoanStartDate),"")</f>
        <v>53022</v>
      </c>
      <c r="D256" s="6">
        <f>IF(PaymentSchedule[[#This Row],[PMT NO]]&lt;&gt;"",IF(ROW()-ROW(PaymentSchedule[[#Headers],[BEGINNING BALANCE]])=1,LoanAmount,INDEX(PaymentSchedule[ENDING BALANCE],ROW()-ROW(PaymentSchedule[[#Headers],[BEGINNING BALANCE]])-1)),"")</f>
        <v>80530.820380471545</v>
      </c>
      <c r="E256" s="6">
        <f>IF(PaymentSchedule[[#This Row],[PMT NO]]&lt;&gt;"",ScheduledPayment,"")</f>
        <v>839.37073521385321</v>
      </c>
      <c r="F256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256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256" s="6">
        <f>IF(PaymentSchedule[[#This Row],[PMT NO]]&lt;&gt;"",PaymentSchedule[[#This Row],[TOTAL PAYMENT]]-PaymentSchedule[[#This Row],[INTEREST]],"")</f>
        <v>436.71663331149546</v>
      </c>
      <c r="I256" s="6">
        <f>IF(PaymentSchedule[[#This Row],[PMT NO]]&lt;&gt;"",PaymentSchedule[[#This Row],[BEGINNING BALANCE]]*(InterestRate/PaymentsPerYear),"")</f>
        <v>402.65410190235775</v>
      </c>
      <c r="J256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80094.103747160043</v>
      </c>
      <c r="K256" s="6">
        <f>IF(PaymentSchedule[[#This Row],[PMT NO]]&lt;&gt;"",SUM(INDEX(PaymentSchedule[INTEREST],1,1):PaymentSchedule[[#This Row],[INTEREST]]),"")</f>
        <v>133149.37284634632</v>
      </c>
    </row>
    <row r="257" spans="2:11" x14ac:dyDescent="0.2">
      <c r="B257" s="4">
        <f>IF(LoanIsGood,IF(ROW()-ROW(PaymentSchedule[[#Headers],[PMT NO]])&gt;ScheduledNumberOfPayments,"",ROW()-ROW(PaymentSchedule[[#Headers],[PMT NO]])),"")</f>
        <v>231</v>
      </c>
      <c r="C257" s="5">
        <f>IF(PaymentSchedule[[#This Row],[PMT NO]]&lt;&gt;"",EOMONTH(LoanStartDate,ROW(PaymentSchedule[[#This Row],[PMT NO]])-ROW(PaymentSchedule[[#Headers],[PMT NO]])-2)+DAY(LoanStartDate),"")</f>
        <v>53053</v>
      </c>
      <c r="D257" s="6">
        <f>IF(PaymentSchedule[[#This Row],[PMT NO]]&lt;&gt;"",IF(ROW()-ROW(PaymentSchedule[[#Headers],[BEGINNING BALANCE]])=1,LoanAmount,INDEX(PaymentSchedule[ENDING BALANCE],ROW()-ROW(PaymentSchedule[[#Headers],[BEGINNING BALANCE]])-1)),"")</f>
        <v>80094.103747160043</v>
      </c>
      <c r="E257" s="6">
        <f>IF(PaymentSchedule[[#This Row],[PMT NO]]&lt;&gt;"",ScheduledPayment,"")</f>
        <v>839.37073521385321</v>
      </c>
      <c r="F257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257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257" s="6">
        <f>IF(PaymentSchedule[[#This Row],[PMT NO]]&lt;&gt;"",PaymentSchedule[[#This Row],[TOTAL PAYMENT]]-PaymentSchedule[[#This Row],[INTEREST]],"")</f>
        <v>438.90021647805298</v>
      </c>
      <c r="I257" s="6">
        <f>IF(PaymentSchedule[[#This Row],[PMT NO]]&lt;&gt;"",PaymentSchedule[[#This Row],[BEGINNING BALANCE]]*(InterestRate/PaymentsPerYear),"")</f>
        <v>400.47051873580023</v>
      </c>
      <c r="J257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79655.203530681989</v>
      </c>
      <c r="K257" s="6">
        <f>IF(PaymentSchedule[[#This Row],[PMT NO]]&lt;&gt;"",SUM(INDEX(PaymentSchedule[INTEREST],1,1):PaymentSchedule[[#This Row],[INTEREST]]),"")</f>
        <v>133549.84336508211</v>
      </c>
    </row>
    <row r="258" spans="2:11" x14ac:dyDescent="0.2">
      <c r="B258" s="4">
        <f>IF(LoanIsGood,IF(ROW()-ROW(PaymentSchedule[[#Headers],[PMT NO]])&gt;ScheduledNumberOfPayments,"",ROW()-ROW(PaymentSchedule[[#Headers],[PMT NO]])),"")</f>
        <v>232</v>
      </c>
      <c r="C258" s="5">
        <f>IF(PaymentSchedule[[#This Row],[PMT NO]]&lt;&gt;"",EOMONTH(LoanStartDate,ROW(PaymentSchedule[[#This Row],[PMT NO]])-ROW(PaymentSchedule[[#Headers],[PMT NO]])-2)+DAY(LoanStartDate),"")</f>
        <v>53083</v>
      </c>
      <c r="D258" s="6">
        <f>IF(PaymentSchedule[[#This Row],[PMT NO]]&lt;&gt;"",IF(ROW()-ROW(PaymentSchedule[[#Headers],[BEGINNING BALANCE]])=1,LoanAmount,INDEX(PaymentSchedule[ENDING BALANCE],ROW()-ROW(PaymentSchedule[[#Headers],[BEGINNING BALANCE]])-1)),"")</f>
        <v>79655.203530681989</v>
      </c>
      <c r="E258" s="6">
        <f>IF(PaymentSchedule[[#This Row],[PMT NO]]&lt;&gt;"",ScheduledPayment,"")</f>
        <v>839.37073521385321</v>
      </c>
      <c r="F258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258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258" s="6">
        <f>IF(PaymentSchedule[[#This Row],[PMT NO]]&lt;&gt;"",PaymentSchedule[[#This Row],[TOTAL PAYMENT]]-PaymentSchedule[[#This Row],[INTEREST]],"")</f>
        <v>441.09471756044326</v>
      </c>
      <c r="I258" s="6">
        <f>IF(PaymentSchedule[[#This Row],[PMT NO]]&lt;&gt;"",PaymentSchedule[[#This Row],[BEGINNING BALANCE]]*(InterestRate/PaymentsPerYear),"")</f>
        <v>398.27601765340995</v>
      </c>
      <c r="J258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79214.108813121551</v>
      </c>
      <c r="K258" s="6">
        <f>IF(PaymentSchedule[[#This Row],[PMT NO]]&lt;&gt;"",SUM(INDEX(PaymentSchedule[INTEREST],1,1):PaymentSchedule[[#This Row],[INTEREST]]),"")</f>
        <v>133948.11938273552</v>
      </c>
    </row>
    <row r="259" spans="2:11" x14ac:dyDescent="0.2">
      <c r="B259" s="4">
        <f>IF(LoanIsGood,IF(ROW()-ROW(PaymentSchedule[[#Headers],[PMT NO]])&gt;ScheduledNumberOfPayments,"",ROW()-ROW(PaymentSchedule[[#Headers],[PMT NO]])),"")</f>
        <v>233</v>
      </c>
      <c r="C259" s="5">
        <f>IF(PaymentSchedule[[#This Row],[PMT NO]]&lt;&gt;"",EOMONTH(LoanStartDate,ROW(PaymentSchedule[[#This Row],[PMT NO]])-ROW(PaymentSchedule[[#Headers],[PMT NO]])-2)+DAY(LoanStartDate),"")</f>
        <v>53114</v>
      </c>
      <c r="D259" s="6">
        <f>IF(PaymentSchedule[[#This Row],[PMT NO]]&lt;&gt;"",IF(ROW()-ROW(PaymentSchedule[[#Headers],[BEGINNING BALANCE]])=1,LoanAmount,INDEX(PaymentSchedule[ENDING BALANCE],ROW()-ROW(PaymentSchedule[[#Headers],[BEGINNING BALANCE]])-1)),"")</f>
        <v>79214.108813121551</v>
      </c>
      <c r="E259" s="6">
        <f>IF(PaymentSchedule[[#This Row],[PMT NO]]&lt;&gt;"",ScheduledPayment,"")</f>
        <v>839.37073521385321</v>
      </c>
      <c r="F259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259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259" s="6">
        <f>IF(PaymentSchedule[[#This Row],[PMT NO]]&lt;&gt;"",PaymentSchedule[[#This Row],[TOTAL PAYMENT]]-PaymentSchedule[[#This Row],[INTEREST]],"")</f>
        <v>443.30019114824546</v>
      </c>
      <c r="I259" s="6">
        <f>IF(PaymentSchedule[[#This Row],[PMT NO]]&lt;&gt;"",PaymentSchedule[[#This Row],[BEGINNING BALANCE]]*(InterestRate/PaymentsPerYear),"")</f>
        <v>396.07054406560775</v>
      </c>
      <c r="J259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78770.808621973309</v>
      </c>
      <c r="K259" s="6">
        <f>IF(PaymentSchedule[[#This Row],[PMT NO]]&lt;&gt;"",SUM(INDEX(PaymentSchedule[INTEREST],1,1):PaymentSchedule[[#This Row],[INTEREST]]),"")</f>
        <v>134344.18992680113</v>
      </c>
    </row>
    <row r="260" spans="2:11" x14ac:dyDescent="0.2">
      <c r="B260" s="4">
        <f>IF(LoanIsGood,IF(ROW()-ROW(PaymentSchedule[[#Headers],[PMT NO]])&gt;ScheduledNumberOfPayments,"",ROW()-ROW(PaymentSchedule[[#Headers],[PMT NO]])),"")</f>
        <v>234</v>
      </c>
      <c r="C260" s="5">
        <f>IF(PaymentSchedule[[#This Row],[PMT NO]]&lt;&gt;"",EOMONTH(LoanStartDate,ROW(PaymentSchedule[[#This Row],[PMT NO]])-ROW(PaymentSchedule[[#Headers],[PMT NO]])-2)+DAY(LoanStartDate),"")</f>
        <v>53144</v>
      </c>
      <c r="D260" s="6">
        <f>IF(PaymentSchedule[[#This Row],[PMT NO]]&lt;&gt;"",IF(ROW()-ROW(PaymentSchedule[[#Headers],[BEGINNING BALANCE]])=1,LoanAmount,INDEX(PaymentSchedule[ENDING BALANCE],ROW()-ROW(PaymentSchedule[[#Headers],[BEGINNING BALANCE]])-1)),"")</f>
        <v>78770.808621973309</v>
      </c>
      <c r="E260" s="6">
        <f>IF(PaymentSchedule[[#This Row],[PMT NO]]&lt;&gt;"",ScheduledPayment,"")</f>
        <v>839.37073521385321</v>
      </c>
      <c r="F260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260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260" s="6">
        <f>IF(PaymentSchedule[[#This Row],[PMT NO]]&lt;&gt;"",PaymentSchedule[[#This Row],[TOTAL PAYMENT]]-PaymentSchedule[[#This Row],[INTEREST]],"")</f>
        <v>445.51669210398666</v>
      </c>
      <c r="I260" s="6">
        <f>IF(PaymentSchedule[[#This Row],[PMT NO]]&lt;&gt;"",PaymentSchedule[[#This Row],[BEGINNING BALANCE]]*(InterestRate/PaymentsPerYear),"")</f>
        <v>393.85404310986655</v>
      </c>
      <c r="J260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78325.291929869316</v>
      </c>
      <c r="K260" s="6">
        <f>IF(PaymentSchedule[[#This Row],[PMT NO]]&lt;&gt;"",SUM(INDEX(PaymentSchedule[INTEREST],1,1):PaymentSchedule[[#This Row],[INTEREST]]),"")</f>
        <v>134738.043969911</v>
      </c>
    </row>
    <row r="261" spans="2:11" x14ac:dyDescent="0.2">
      <c r="B261" s="4">
        <f>IF(LoanIsGood,IF(ROW()-ROW(PaymentSchedule[[#Headers],[PMT NO]])&gt;ScheduledNumberOfPayments,"",ROW()-ROW(PaymentSchedule[[#Headers],[PMT NO]])),"")</f>
        <v>235</v>
      </c>
      <c r="C261" s="5">
        <f>IF(PaymentSchedule[[#This Row],[PMT NO]]&lt;&gt;"",EOMONTH(LoanStartDate,ROW(PaymentSchedule[[#This Row],[PMT NO]])-ROW(PaymentSchedule[[#Headers],[PMT NO]])-2)+DAY(LoanStartDate),"")</f>
        <v>53175</v>
      </c>
      <c r="D261" s="6">
        <f>IF(PaymentSchedule[[#This Row],[PMT NO]]&lt;&gt;"",IF(ROW()-ROW(PaymentSchedule[[#Headers],[BEGINNING BALANCE]])=1,LoanAmount,INDEX(PaymentSchedule[ENDING BALANCE],ROW()-ROW(PaymentSchedule[[#Headers],[BEGINNING BALANCE]])-1)),"")</f>
        <v>78325.291929869316</v>
      </c>
      <c r="E261" s="6">
        <f>IF(PaymentSchedule[[#This Row],[PMT NO]]&lt;&gt;"",ScheduledPayment,"")</f>
        <v>839.37073521385321</v>
      </c>
      <c r="F261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261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261" s="6">
        <f>IF(PaymentSchedule[[#This Row],[PMT NO]]&lt;&gt;"",PaymentSchedule[[#This Row],[TOTAL PAYMENT]]-PaymentSchedule[[#This Row],[INTEREST]],"")</f>
        <v>447.74427556450661</v>
      </c>
      <c r="I261" s="6">
        <f>IF(PaymentSchedule[[#This Row],[PMT NO]]&lt;&gt;"",PaymentSchedule[[#This Row],[BEGINNING BALANCE]]*(InterestRate/PaymentsPerYear),"")</f>
        <v>391.6264596493466</v>
      </c>
      <c r="J261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77877.547654304813</v>
      </c>
      <c r="K261" s="6">
        <f>IF(PaymentSchedule[[#This Row],[PMT NO]]&lt;&gt;"",SUM(INDEX(PaymentSchedule[INTEREST],1,1):PaymentSchedule[[#This Row],[INTEREST]]),"")</f>
        <v>135129.67042956036</v>
      </c>
    </row>
    <row r="262" spans="2:11" x14ac:dyDescent="0.2">
      <c r="B262" s="4">
        <f>IF(LoanIsGood,IF(ROW()-ROW(PaymentSchedule[[#Headers],[PMT NO]])&gt;ScheduledNumberOfPayments,"",ROW()-ROW(PaymentSchedule[[#Headers],[PMT NO]])),"")</f>
        <v>236</v>
      </c>
      <c r="C262" s="5">
        <f>IF(PaymentSchedule[[#This Row],[PMT NO]]&lt;&gt;"",EOMONTH(LoanStartDate,ROW(PaymentSchedule[[#This Row],[PMT NO]])-ROW(PaymentSchedule[[#Headers],[PMT NO]])-2)+DAY(LoanStartDate),"")</f>
        <v>53206</v>
      </c>
      <c r="D262" s="6">
        <f>IF(PaymentSchedule[[#This Row],[PMT NO]]&lt;&gt;"",IF(ROW()-ROW(PaymentSchedule[[#Headers],[BEGINNING BALANCE]])=1,LoanAmount,INDEX(PaymentSchedule[ENDING BALANCE],ROW()-ROW(PaymentSchedule[[#Headers],[BEGINNING BALANCE]])-1)),"")</f>
        <v>77877.547654304813</v>
      </c>
      <c r="E262" s="6">
        <f>IF(PaymentSchedule[[#This Row],[PMT NO]]&lt;&gt;"",ScheduledPayment,"")</f>
        <v>839.37073521385321</v>
      </c>
      <c r="F262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262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262" s="6">
        <f>IF(PaymentSchedule[[#This Row],[PMT NO]]&lt;&gt;"",PaymentSchedule[[#This Row],[TOTAL PAYMENT]]-PaymentSchedule[[#This Row],[INTEREST]],"")</f>
        <v>449.98299694232912</v>
      </c>
      <c r="I262" s="6">
        <f>IF(PaymentSchedule[[#This Row],[PMT NO]]&lt;&gt;"",PaymentSchedule[[#This Row],[BEGINNING BALANCE]]*(InterestRate/PaymentsPerYear),"")</f>
        <v>389.38773827152409</v>
      </c>
      <c r="J262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77427.564657362484</v>
      </c>
      <c r="K262" s="6">
        <f>IF(PaymentSchedule[[#This Row],[PMT NO]]&lt;&gt;"",SUM(INDEX(PaymentSchedule[INTEREST],1,1):PaymentSchedule[[#This Row],[INTEREST]]),"")</f>
        <v>135519.05816783188</v>
      </c>
    </row>
    <row r="263" spans="2:11" x14ac:dyDescent="0.2">
      <c r="B263" s="4">
        <f>IF(LoanIsGood,IF(ROW()-ROW(PaymentSchedule[[#Headers],[PMT NO]])&gt;ScheduledNumberOfPayments,"",ROW()-ROW(PaymentSchedule[[#Headers],[PMT NO]])),"")</f>
        <v>237</v>
      </c>
      <c r="C263" s="5">
        <f>IF(PaymentSchedule[[#This Row],[PMT NO]]&lt;&gt;"",EOMONTH(LoanStartDate,ROW(PaymentSchedule[[#This Row],[PMT NO]])-ROW(PaymentSchedule[[#Headers],[PMT NO]])-2)+DAY(LoanStartDate),"")</f>
        <v>53236</v>
      </c>
      <c r="D263" s="6">
        <f>IF(PaymentSchedule[[#This Row],[PMT NO]]&lt;&gt;"",IF(ROW()-ROW(PaymentSchedule[[#Headers],[BEGINNING BALANCE]])=1,LoanAmount,INDEX(PaymentSchedule[ENDING BALANCE],ROW()-ROW(PaymentSchedule[[#Headers],[BEGINNING BALANCE]])-1)),"")</f>
        <v>77427.564657362484</v>
      </c>
      <c r="E263" s="6">
        <f>IF(PaymentSchedule[[#This Row],[PMT NO]]&lt;&gt;"",ScheduledPayment,"")</f>
        <v>839.37073521385321</v>
      </c>
      <c r="F263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263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263" s="6">
        <f>IF(PaymentSchedule[[#This Row],[PMT NO]]&lt;&gt;"",PaymentSchedule[[#This Row],[TOTAL PAYMENT]]-PaymentSchedule[[#This Row],[INTEREST]],"")</f>
        <v>452.23291192704079</v>
      </c>
      <c r="I263" s="6">
        <f>IF(PaymentSchedule[[#This Row],[PMT NO]]&lt;&gt;"",PaymentSchedule[[#This Row],[BEGINNING BALANCE]]*(InterestRate/PaymentsPerYear),"")</f>
        <v>387.13782328681242</v>
      </c>
      <c r="J263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76975.33174543544</v>
      </c>
      <c r="K263" s="6">
        <f>IF(PaymentSchedule[[#This Row],[PMT NO]]&lt;&gt;"",SUM(INDEX(PaymentSchedule[INTEREST],1,1):PaymentSchedule[[#This Row],[INTEREST]]),"")</f>
        <v>135906.1959911187</v>
      </c>
    </row>
    <row r="264" spans="2:11" x14ac:dyDescent="0.2">
      <c r="B264" s="4">
        <f>IF(LoanIsGood,IF(ROW()-ROW(PaymentSchedule[[#Headers],[PMT NO]])&gt;ScheduledNumberOfPayments,"",ROW()-ROW(PaymentSchedule[[#Headers],[PMT NO]])),"")</f>
        <v>238</v>
      </c>
      <c r="C264" s="5">
        <f>IF(PaymentSchedule[[#This Row],[PMT NO]]&lt;&gt;"",EOMONTH(LoanStartDate,ROW(PaymentSchedule[[#This Row],[PMT NO]])-ROW(PaymentSchedule[[#Headers],[PMT NO]])-2)+DAY(LoanStartDate),"")</f>
        <v>53267</v>
      </c>
      <c r="D264" s="6">
        <f>IF(PaymentSchedule[[#This Row],[PMT NO]]&lt;&gt;"",IF(ROW()-ROW(PaymentSchedule[[#Headers],[BEGINNING BALANCE]])=1,LoanAmount,INDEX(PaymentSchedule[ENDING BALANCE],ROW()-ROW(PaymentSchedule[[#Headers],[BEGINNING BALANCE]])-1)),"")</f>
        <v>76975.33174543544</v>
      </c>
      <c r="E264" s="6">
        <f>IF(PaymentSchedule[[#This Row],[PMT NO]]&lt;&gt;"",ScheduledPayment,"")</f>
        <v>839.37073521385321</v>
      </c>
      <c r="F264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264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264" s="6">
        <f>IF(PaymentSchedule[[#This Row],[PMT NO]]&lt;&gt;"",PaymentSchedule[[#This Row],[TOTAL PAYMENT]]-PaymentSchedule[[#This Row],[INTEREST]],"")</f>
        <v>454.49407648667602</v>
      </c>
      <c r="I264" s="6">
        <f>IF(PaymentSchedule[[#This Row],[PMT NO]]&lt;&gt;"",PaymentSchedule[[#This Row],[BEGINNING BALANCE]]*(InterestRate/PaymentsPerYear),"")</f>
        <v>384.87665872717719</v>
      </c>
      <c r="J264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76520.837668948763</v>
      </c>
      <c r="K264" s="6">
        <f>IF(PaymentSchedule[[#This Row],[PMT NO]]&lt;&gt;"",SUM(INDEX(PaymentSchedule[INTEREST],1,1):PaymentSchedule[[#This Row],[INTEREST]]),"")</f>
        <v>136291.07264984588</v>
      </c>
    </row>
    <row r="265" spans="2:11" x14ac:dyDescent="0.2">
      <c r="B265" s="4">
        <f>IF(LoanIsGood,IF(ROW()-ROW(PaymentSchedule[[#Headers],[PMT NO]])&gt;ScheduledNumberOfPayments,"",ROW()-ROW(PaymentSchedule[[#Headers],[PMT NO]])),"")</f>
        <v>239</v>
      </c>
      <c r="C265" s="5">
        <f>IF(PaymentSchedule[[#This Row],[PMT NO]]&lt;&gt;"",EOMONTH(LoanStartDate,ROW(PaymentSchedule[[#This Row],[PMT NO]])-ROW(PaymentSchedule[[#Headers],[PMT NO]])-2)+DAY(LoanStartDate),"")</f>
        <v>53297</v>
      </c>
      <c r="D265" s="6">
        <f>IF(PaymentSchedule[[#This Row],[PMT NO]]&lt;&gt;"",IF(ROW()-ROW(PaymentSchedule[[#Headers],[BEGINNING BALANCE]])=1,LoanAmount,INDEX(PaymentSchedule[ENDING BALANCE],ROW()-ROW(PaymentSchedule[[#Headers],[BEGINNING BALANCE]])-1)),"")</f>
        <v>76520.837668948763</v>
      </c>
      <c r="E265" s="6">
        <f>IF(PaymentSchedule[[#This Row],[PMT NO]]&lt;&gt;"",ScheduledPayment,"")</f>
        <v>839.37073521385321</v>
      </c>
      <c r="F265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265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265" s="6">
        <f>IF(PaymentSchedule[[#This Row],[PMT NO]]&lt;&gt;"",PaymentSchedule[[#This Row],[TOTAL PAYMENT]]-PaymentSchedule[[#This Row],[INTEREST]],"")</f>
        <v>456.76654686910939</v>
      </c>
      <c r="I265" s="6">
        <f>IF(PaymentSchedule[[#This Row],[PMT NO]]&lt;&gt;"",PaymentSchedule[[#This Row],[BEGINNING BALANCE]]*(InterestRate/PaymentsPerYear),"")</f>
        <v>382.60418834474382</v>
      </c>
      <c r="J265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76064.071122079651</v>
      </c>
      <c r="K265" s="6">
        <f>IF(PaymentSchedule[[#This Row],[PMT NO]]&lt;&gt;"",SUM(INDEX(PaymentSchedule[INTEREST],1,1):PaymentSchedule[[#This Row],[INTEREST]]),"")</f>
        <v>136673.67683819061</v>
      </c>
    </row>
    <row r="266" spans="2:11" x14ac:dyDescent="0.2">
      <c r="B266" s="4">
        <f>IF(LoanIsGood,IF(ROW()-ROW(PaymentSchedule[[#Headers],[PMT NO]])&gt;ScheduledNumberOfPayments,"",ROW()-ROW(PaymentSchedule[[#Headers],[PMT NO]])),"")</f>
        <v>240</v>
      </c>
      <c r="C266" s="5">
        <f>IF(PaymentSchedule[[#This Row],[PMT NO]]&lt;&gt;"",EOMONTH(LoanStartDate,ROW(PaymentSchedule[[#This Row],[PMT NO]])-ROW(PaymentSchedule[[#Headers],[PMT NO]])-2)+DAY(LoanStartDate),"")</f>
        <v>53328</v>
      </c>
      <c r="D266" s="6">
        <f>IF(PaymentSchedule[[#This Row],[PMT NO]]&lt;&gt;"",IF(ROW()-ROW(PaymentSchedule[[#Headers],[BEGINNING BALANCE]])=1,LoanAmount,INDEX(PaymentSchedule[ENDING BALANCE],ROW()-ROW(PaymentSchedule[[#Headers],[BEGINNING BALANCE]])-1)),"")</f>
        <v>76064.071122079651</v>
      </c>
      <c r="E266" s="6">
        <f>IF(PaymentSchedule[[#This Row],[PMT NO]]&lt;&gt;"",ScheduledPayment,"")</f>
        <v>839.37073521385321</v>
      </c>
      <c r="F266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266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266" s="6">
        <f>IF(PaymentSchedule[[#This Row],[PMT NO]]&lt;&gt;"",PaymentSchedule[[#This Row],[TOTAL PAYMENT]]-PaymentSchedule[[#This Row],[INTEREST]],"")</f>
        <v>459.05037960345493</v>
      </c>
      <c r="I266" s="6">
        <f>IF(PaymentSchedule[[#This Row],[PMT NO]]&lt;&gt;"",PaymentSchedule[[#This Row],[BEGINNING BALANCE]]*(InterestRate/PaymentsPerYear),"")</f>
        <v>380.32035561039828</v>
      </c>
      <c r="J266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75605.02074247619</v>
      </c>
      <c r="K266" s="6">
        <f>IF(PaymentSchedule[[#This Row],[PMT NO]]&lt;&gt;"",SUM(INDEX(PaymentSchedule[INTEREST],1,1):PaymentSchedule[[#This Row],[INTEREST]]),"")</f>
        <v>137053.99719380101</v>
      </c>
    </row>
    <row r="267" spans="2:11" x14ac:dyDescent="0.2">
      <c r="B267" s="4">
        <f>IF(LoanIsGood,IF(ROW()-ROW(PaymentSchedule[[#Headers],[PMT NO]])&gt;ScheduledNumberOfPayments,"",ROW()-ROW(PaymentSchedule[[#Headers],[PMT NO]])),"")</f>
        <v>241</v>
      </c>
      <c r="C267" s="5">
        <f>IF(PaymentSchedule[[#This Row],[PMT NO]]&lt;&gt;"",EOMONTH(LoanStartDate,ROW(PaymentSchedule[[#This Row],[PMT NO]])-ROW(PaymentSchedule[[#Headers],[PMT NO]])-2)+DAY(LoanStartDate),"")</f>
        <v>53359</v>
      </c>
      <c r="D267" s="6">
        <f>IF(PaymentSchedule[[#This Row],[PMT NO]]&lt;&gt;"",IF(ROW()-ROW(PaymentSchedule[[#Headers],[BEGINNING BALANCE]])=1,LoanAmount,INDEX(PaymentSchedule[ENDING BALANCE],ROW()-ROW(PaymentSchedule[[#Headers],[BEGINNING BALANCE]])-1)),"")</f>
        <v>75605.02074247619</v>
      </c>
      <c r="E267" s="6">
        <f>IF(PaymentSchedule[[#This Row],[PMT NO]]&lt;&gt;"",ScheduledPayment,"")</f>
        <v>839.37073521385321</v>
      </c>
      <c r="F267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267" s="6"/>
      <c r="H267" s="6">
        <f>IF(PaymentSchedule[[#This Row],[PMT NO]]&lt;&gt;"",PaymentSchedule[[#This Row],[TOTAL PAYMENT]]-PaymentSchedule[[#This Row],[INTEREST]],"")</f>
        <v>-378.02510371238094</v>
      </c>
      <c r="I267" s="6">
        <f>IF(PaymentSchedule[[#This Row],[PMT NO]]&lt;&gt;"",PaymentSchedule[[#This Row],[BEGINNING BALANCE]]*(InterestRate/PaymentsPerYear),"")</f>
        <v>378.02510371238094</v>
      </c>
      <c r="J267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75983.045846188572</v>
      </c>
      <c r="K267" s="6">
        <f>IF(PaymentSchedule[[#This Row],[PMT NO]]&lt;&gt;"",SUM(INDEX(PaymentSchedule[INTEREST],1,1):PaymentSchedule[[#This Row],[INTEREST]]),"")</f>
        <v>137432.02229751338</v>
      </c>
    </row>
    <row r="268" spans="2:11" x14ac:dyDescent="0.2">
      <c r="B268" s="4">
        <f>IF(LoanIsGood,IF(ROW()-ROW(PaymentSchedule[[#Headers],[PMT NO]])&gt;ScheduledNumberOfPayments,"",ROW()-ROW(PaymentSchedule[[#Headers],[PMT NO]])),"")</f>
        <v>242</v>
      </c>
      <c r="C268" s="5">
        <f>IF(PaymentSchedule[[#This Row],[PMT NO]]&lt;&gt;"",EOMONTH(LoanStartDate,ROW(PaymentSchedule[[#This Row],[PMT NO]])-ROW(PaymentSchedule[[#Headers],[PMT NO]])-2)+DAY(LoanStartDate),"")</f>
        <v>53387</v>
      </c>
      <c r="D268" s="6">
        <f>IF(PaymentSchedule[[#This Row],[PMT NO]]&lt;&gt;"",IF(ROW()-ROW(PaymentSchedule[[#Headers],[BEGINNING BALANCE]])=1,LoanAmount,INDEX(PaymentSchedule[ENDING BALANCE],ROW()-ROW(PaymentSchedule[[#Headers],[BEGINNING BALANCE]])-1)),"")</f>
        <v>75983.045846188572</v>
      </c>
      <c r="E268" s="6">
        <f>IF(PaymentSchedule[[#This Row],[PMT NO]]&lt;&gt;"",ScheduledPayment,"")</f>
        <v>839.37073521385321</v>
      </c>
      <c r="F268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268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268" s="6">
        <f>IF(PaymentSchedule[[#This Row],[PMT NO]]&lt;&gt;"",PaymentSchedule[[#This Row],[TOTAL PAYMENT]]-PaymentSchedule[[#This Row],[INTEREST]],"")</f>
        <v>459.45550598291032</v>
      </c>
      <c r="I268" s="6">
        <f>IF(PaymentSchedule[[#This Row],[PMT NO]]&lt;&gt;"",PaymentSchedule[[#This Row],[BEGINNING BALANCE]]*(InterestRate/PaymentsPerYear),"")</f>
        <v>379.91522923094288</v>
      </c>
      <c r="J268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75523.590340205657</v>
      </c>
      <c r="K268" s="6">
        <f>IF(PaymentSchedule[[#This Row],[PMT NO]]&lt;&gt;"",SUM(INDEX(PaymentSchedule[INTEREST],1,1):PaymentSchedule[[#This Row],[INTEREST]]),"")</f>
        <v>137811.93752674432</v>
      </c>
    </row>
    <row r="269" spans="2:11" x14ac:dyDescent="0.2">
      <c r="B269" s="4">
        <f>IF(LoanIsGood,IF(ROW()-ROW(PaymentSchedule[[#Headers],[PMT NO]])&gt;ScheduledNumberOfPayments,"",ROW()-ROW(PaymentSchedule[[#Headers],[PMT NO]])),"")</f>
        <v>243</v>
      </c>
      <c r="C269" s="5">
        <f>IF(PaymentSchedule[[#This Row],[PMT NO]]&lt;&gt;"",EOMONTH(LoanStartDate,ROW(PaymentSchedule[[#This Row],[PMT NO]])-ROW(PaymentSchedule[[#Headers],[PMT NO]])-2)+DAY(LoanStartDate),"")</f>
        <v>53418</v>
      </c>
      <c r="D269" s="6">
        <f>IF(PaymentSchedule[[#This Row],[PMT NO]]&lt;&gt;"",IF(ROW()-ROW(PaymentSchedule[[#Headers],[BEGINNING BALANCE]])=1,LoanAmount,INDEX(PaymentSchedule[ENDING BALANCE],ROW()-ROW(PaymentSchedule[[#Headers],[BEGINNING BALANCE]])-1)),"")</f>
        <v>75523.590340205657</v>
      </c>
      <c r="E269" s="6">
        <f>IF(PaymentSchedule[[#This Row],[PMT NO]]&lt;&gt;"",ScheduledPayment,"")</f>
        <v>839.37073521385321</v>
      </c>
      <c r="F269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269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269" s="6">
        <f>IF(PaymentSchedule[[#This Row],[PMT NO]]&lt;&gt;"",PaymentSchedule[[#This Row],[TOTAL PAYMENT]]-PaymentSchedule[[#This Row],[INTEREST]],"")</f>
        <v>461.75278351282492</v>
      </c>
      <c r="I269" s="6">
        <f>IF(PaymentSchedule[[#This Row],[PMT NO]]&lt;&gt;"",PaymentSchedule[[#This Row],[BEGINNING BALANCE]]*(InterestRate/PaymentsPerYear),"")</f>
        <v>377.61795170102829</v>
      </c>
      <c r="J269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75061.83755669283</v>
      </c>
      <c r="K269" s="6">
        <f>IF(PaymentSchedule[[#This Row],[PMT NO]]&lt;&gt;"",SUM(INDEX(PaymentSchedule[INTEREST],1,1):PaymentSchedule[[#This Row],[INTEREST]]),"")</f>
        <v>138189.55547844534</v>
      </c>
    </row>
    <row r="270" spans="2:11" x14ac:dyDescent="0.2">
      <c r="B270" s="4">
        <f>IF(LoanIsGood,IF(ROW()-ROW(PaymentSchedule[[#Headers],[PMT NO]])&gt;ScheduledNumberOfPayments,"",ROW()-ROW(PaymentSchedule[[#Headers],[PMT NO]])),"")</f>
        <v>244</v>
      </c>
      <c r="C270" s="5">
        <f>IF(PaymentSchedule[[#This Row],[PMT NO]]&lt;&gt;"",EOMONTH(LoanStartDate,ROW(PaymentSchedule[[#This Row],[PMT NO]])-ROW(PaymentSchedule[[#Headers],[PMT NO]])-2)+DAY(LoanStartDate),"")</f>
        <v>53448</v>
      </c>
      <c r="D270" s="6">
        <f>IF(PaymentSchedule[[#This Row],[PMT NO]]&lt;&gt;"",IF(ROW()-ROW(PaymentSchedule[[#Headers],[BEGINNING BALANCE]])=1,LoanAmount,INDEX(PaymentSchedule[ENDING BALANCE],ROW()-ROW(PaymentSchedule[[#Headers],[BEGINNING BALANCE]])-1)),"")</f>
        <v>75061.83755669283</v>
      </c>
      <c r="E270" s="6">
        <f>IF(PaymentSchedule[[#This Row],[PMT NO]]&lt;&gt;"",ScheduledPayment,"")</f>
        <v>839.37073521385321</v>
      </c>
      <c r="F270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270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270" s="6">
        <f>IF(PaymentSchedule[[#This Row],[PMT NO]]&lt;&gt;"",PaymentSchedule[[#This Row],[TOTAL PAYMENT]]-PaymentSchedule[[#This Row],[INTEREST]],"")</f>
        <v>464.06154743038906</v>
      </c>
      <c r="I270" s="6">
        <f>IF(PaymentSchedule[[#This Row],[PMT NO]]&lt;&gt;"",PaymentSchedule[[#This Row],[BEGINNING BALANCE]]*(InterestRate/PaymentsPerYear),"")</f>
        <v>375.30918778346415</v>
      </c>
      <c r="J270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74597.776009262438</v>
      </c>
      <c r="K270" s="6">
        <f>IF(PaymentSchedule[[#This Row],[PMT NO]]&lt;&gt;"",SUM(INDEX(PaymentSchedule[INTEREST],1,1):PaymentSchedule[[#This Row],[INTEREST]]),"")</f>
        <v>138564.86466622879</v>
      </c>
    </row>
    <row r="271" spans="2:11" x14ac:dyDescent="0.2">
      <c r="B271" s="4">
        <f>IF(LoanIsGood,IF(ROW()-ROW(PaymentSchedule[[#Headers],[PMT NO]])&gt;ScheduledNumberOfPayments,"",ROW()-ROW(PaymentSchedule[[#Headers],[PMT NO]])),"")</f>
        <v>245</v>
      </c>
      <c r="C271" s="5">
        <f>IF(PaymentSchedule[[#This Row],[PMT NO]]&lt;&gt;"",EOMONTH(LoanStartDate,ROW(PaymentSchedule[[#This Row],[PMT NO]])-ROW(PaymentSchedule[[#Headers],[PMT NO]])-2)+DAY(LoanStartDate),"")</f>
        <v>53479</v>
      </c>
      <c r="D271" s="6">
        <f>IF(PaymentSchedule[[#This Row],[PMT NO]]&lt;&gt;"",IF(ROW()-ROW(PaymentSchedule[[#Headers],[BEGINNING BALANCE]])=1,LoanAmount,INDEX(PaymentSchedule[ENDING BALANCE],ROW()-ROW(PaymentSchedule[[#Headers],[BEGINNING BALANCE]])-1)),"")</f>
        <v>74597.776009262438</v>
      </c>
      <c r="E271" s="6">
        <f>IF(PaymentSchedule[[#This Row],[PMT NO]]&lt;&gt;"",ScheduledPayment,"")</f>
        <v>839.37073521385321</v>
      </c>
      <c r="F271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271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271" s="6">
        <f>IF(PaymentSchedule[[#This Row],[PMT NO]]&lt;&gt;"",PaymentSchedule[[#This Row],[TOTAL PAYMENT]]-PaymentSchedule[[#This Row],[INTEREST]],"")</f>
        <v>466.381855167541</v>
      </c>
      <c r="I271" s="6">
        <f>IF(PaymentSchedule[[#This Row],[PMT NO]]&lt;&gt;"",PaymentSchedule[[#This Row],[BEGINNING BALANCE]]*(InterestRate/PaymentsPerYear),"")</f>
        <v>372.9888800463122</v>
      </c>
      <c r="J271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74131.394154094902</v>
      </c>
      <c r="K271" s="6">
        <f>IF(PaymentSchedule[[#This Row],[PMT NO]]&lt;&gt;"",SUM(INDEX(PaymentSchedule[INTEREST],1,1):PaymentSchedule[[#This Row],[INTEREST]]),"")</f>
        <v>138937.85354627512</v>
      </c>
    </row>
    <row r="272" spans="2:11" x14ac:dyDescent="0.2">
      <c r="B272" s="4">
        <f>IF(LoanIsGood,IF(ROW()-ROW(PaymentSchedule[[#Headers],[PMT NO]])&gt;ScheduledNumberOfPayments,"",ROW()-ROW(PaymentSchedule[[#Headers],[PMT NO]])),"")</f>
        <v>246</v>
      </c>
      <c r="C272" s="5">
        <f>IF(PaymentSchedule[[#This Row],[PMT NO]]&lt;&gt;"",EOMONTH(LoanStartDate,ROW(PaymentSchedule[[#This Row],[PMT NO]])-ROW(PaymentSchedule[[#Headers],[PMT NO]])-2)+DAY(LoanStartDate),"")</f>
        <v>53509</v>
      </c>
      <c r="D272" s="6">
        <f>IF(PaymentSchedule[[#This Row],[PMT NO]]&lt;&gt;"",IF(ROW()-ROW(PaymentSchedule[[#Headers],[BEGINNING BALANCE]])=1,LoanAmount,INDEX(PaymentSchedule[ENDING BALANCE],ROW()-ROW(PaymentSchedule[[#Headers],[BEGINNING BALANCE]])-1)),"")</f>
        <v>74131.394154094902</v>
      </c>
      <c r="E272" s="6">
        <f>IF(PaymentSchedule[[#This Row],[PMT NO]]&lt;&gt;"",ScheduledPayment,"")</f>
        <v>839.37073521385321</v>
      </c>
      <c r="F272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272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272" s="6">
        <f>IF(PaymentSchedule[[#This Row],[PMT NO]]&lt;&gt;"",PaymentSchedule[[#This Row],[TOTAL PAYMENT]]-PaymentSchedule[[#This Row],[INTEREST]],"")</f>
        <v>468.71376444337869</v>
      </c>
      <c r="I272" s="6">
        <f>IF(PaymentSchedule[[#This Row],[PMT NO]]&lt;&gt;"",PaymentSchedule[[#This Row],[BEGINNING BALANCE]]*(InterestRate/PaymentsPerYear),"")</f>
        <v>370.65697077047452</v>
      </c>
      <c r="J272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73662.680389651519</v>
      </c>
      <c r="K272" s="6">
        <f>IF(PaymentSchedule[[#This Row],[PMT NO]]&lt;&gt;"",SUM(INDEX(PaymentSchedule[INTEREST],1,1):PaymentSchedule[[#This Row],[INTEREST]]),"")</f>
        <v>139308.51051704559</v>
      </c>
    </row>
    <row r="273" spans="2:11" x14ac:dyDescent="0.2">
      <c r="B273" s="4">
        <f>IF(LoanIsGood,IF(ROW()-ROW(PaymentSchedule[[#Headers],[PMT NO]])&gt;ScheduledNumberOfPayments,"",ROW()-ROW(PaymentSchedule[[#Headers],[PMT NO]])),"")</f>
        <v>247</v>
      </c>
      <c r="C273" s="5">
        <f>IF(PaymentSchedule[[#This Row],[PMT NO]]&lt;&gt;"",EOMONTH(LoanStartDate,ROW(PaymentSchedule[[#This Row],[PMT NO]])-ROW(PaymentSchedule[[#Headers],[PMT NO]])-2)+DAY(LoanStartDate),"")</f>
        <v>53540</v>
      </c>
      <c r="D273" s="6">
        <f>IF(PaymentSchedule[[#This Row],[PMT NO]]&lt;&gt;"",IF(ROW()-ROW(PaymentSchedule[[#Headers],[BEGINNING BALANCE]])=1,LoanAmount,INDEX(PaymentSchedule[ENDING BALANCE],ROW()-ROW(PaymentSchedule[[#Headers],[BEGINNING BALANCE]])-1)),"")</f>
        <v>73662.680389651519</v>
      </c>
      <c r="E273" s="6">
        <f>IF(PaymentSchedule[[#This Row],[PMT NO]]&lt;&gt;"",ScheduledPayment,"")</f>
        <v>839.37073521385321</v>
      </c>
      <c r="F273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273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273" s="6">
        <f>IF(PaymentSchedule[[#This Row],[PMT NO]]&lt;&gt;"",PaymentSchedule[[#This Row],[TOTAL PAYMENT]]-PaymentSchedule[[#This Row],[INTEREST]],"")</f>
        <v>471.05733326559562</v>
      </c>
      <c r="I273" s="6">
        <f>IF(PaymentSchedule[[#This Row],[PMT NO]]&lt;&gt;"",PaymentSchedule[[#This Row],[BEGINNING BALANCE]]*(InterestRate/PaymentsPerYear),"")</f>
        <v>368.31340194825759</v>
      </c>
      <c r="J273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73191.623056385928</v>
      </c>
      <c r="K273" s="6">
        <f>IF(PaymentSchedule[[#This Row],[PMT NO]]&lt;&gt;"",SUM(INDEX(PaymentSchedule[INTEREST],1,1):PaymentSchedule[[#This Row],[INTEREST]]),"")</f>
        <v>139676.82391899385</v>
      </c>
    </row>
    <row r="274" spans="2:11" x14ac:dyDescent="0.2">
      <c r="B274" s="4">
        <f>IF(LoanIsGood,IF(ROW()-ROW(PaymentSchedule[[#Headers],[PMT NO]])&gt;ScheduledNumberOfPayments,"",ROW()-ROW(PaymentSchedule[[#Headers],[PMT NO]])),"")</f>
        <v>248</v>
      </c>
      <c r="C274" s="5">
        <f>IF(PaymentSchedule[[#This Row],[PMT NO]]&lt;&gt;"",EOMONTH(LoanStartDate,ROW(PaymentSchedule[[#This Row],[PMT NO]])-ROW(PaymentSchedule[[#Headers],[PMT NO]])-2)+DAY(LoanStartDate),"")</f>
        <v>53571</v>
      </c>
      <c r="D274" s="6">
        <f>IF(PaymentSchedule[[#This Row],[PMT NO]]&lt;&gt;"",IF(ROW()-ROW(PaymentSchedule[[#Headers],[BEGINNING BALANCE]])=1,LoanAmount,INDEX(PaymentSchedule[ENDING BALANCE],ROW()-ROW(PaymentSchedule[[#Headers],[BEGINNING BALANCE]])-1)),"")</f>
        <v>73191.623056385928</v>
      </c>
      <c r="E274" s="6">
        <f>IF(PaymentSchedule[[#This Row],[PMT NO]]&lt;&gt;"",ScheduledPayment,"")</f>
        <v>839.37073521385321</v>
      </c>
      <c r="F274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274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274" s="6">
        <f>IF(PaymentSchedule[[#This Row],[PMT NO]]&lt;&gt;"",PaymentSchedule[[#This Row],[TOTAL PAYMENT]]-PaymentSchedule[[#This Row],[INTEREST]],"")</f>
        <v>473.41261993192359</v>
      </c>
      <c r="I274" s="6">
        <f>IF(PaymentSchedule[[#This Row],[PMT NO]]&lt;&gt;"",PaymentSchedule[[#This Row],[BEGINNING BALANCE]]*(InterestRate/PaymentsPerYear),"")</f>
        <v>365.95811528192962</v>
      </c>
      <c r="J274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72718.210436453999</v>
      </c>
      <c r="K274" s="6">
        <f>IF(PaymentSchedule[[#This Row],[PMT NO]]&lt;&gt;"",SUM(INDEX(PaymentSchedule[INTEREST],1,1):PaymentSchedule[[#This Row],[INTEREST]]),"")</f>
        <v>140042.78203427576</v>
      </c>
    </row>
    <row r="275" spans="2:11" x14ac:dyDescent="0.2">
      <c r="B275" s="4">
        <f>IF(LoanIsGood,IF(ROW()-ROW(PaymentSchedule[[#Headers],[PMT NO]])&gt;ScheduledNumberOfPayments,"",ROW()-ROW(PaymentSchedule[[#Headers],[PMT NO]])),"")</f>
        <v>249</v>
      </c>
      <c r="C275" s="5">
        <f>IF(PaymentSchedule[[#This Row],[PMT NO]]&lt;&gt;"",EOMONTH(LoanStartDate,ROW(PaymentSchedule[[#This Row],[PMT NO]])-ROW(PaymentSchedule[[#Headers],[PMT NO]])-2)+DAY(LoanStartDate),"")</f>
        <v>53601</v>
      </c>
      <c r="D275" s="6">
        <f>IF(PaymentSchedule[[#This Row],[PMT NO]]&lt;&gt;"",IF(ROW()-ROW(PaymentSchedule[[#Headers],[BEGINNING BALANCE]])=1,LoanAmount,INDEX(PaymentSchedule[ENDING BALANCE],ROW()-ROW(PaymentSchedule[[#Headers],[BEGINNING BALANCE]])-1)),"")</f>
        <v>72718.210436453999</v>
      </c>
      <c r="E275" s="6">
        <f>IF(PaymentSchedule[[#This Row],[PMT NO]]&lt;&gt;"",ScheduledPayment,"")</f>
        <v>839.37073521385321</v>
      </c>
      <c r="F275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275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275" s="6">
        <f>IF(PaymentSchedule[[#This Row],[PMT NO]]&lt;&gt;"",PaymentSchedule[[#This Row],[TOTAL PAYMENT]]-PaymentSchedule[[#This Row],[INTEREST]],"")</f>
        <v>475.7796830315832</v>
      </c>
      <c r="I275" s="6">
        <f>IF(PaymentSchedule[[#This Row],[PMT NO]]&lt;&gt;"",PaymentSchedule[[#This Row],[BEGINNING BALANCE]]*(InterestRate/PaymentsPerYear),"")</f>
        <v>363.59105218227</v>
      </c>
      <c r="J275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72242.430753422421</v>
      </c>
      <c r="K275" s="6">
        <f>IF(PaymentSchedule[[#This Row],[PMT NO]]&lt;&gt;"",SUM(INDEX(PaymentSchedule[INTEREST],1,1):PaymentSchedule[[#This Row],[INTEREST]]),"")</f>
        <v>140406.37308645804</v>
      </c>
    </row>
    <row r="276" spans="2:11" x14ac:dyDescent="0.2">
      <c r="B276" s="4">
        <f>IF(LoanIsGood,IF(ROW()-ROW(PaymentSchedule[[#Headers],[PMT NO]])&gt;ScheduledNumberOfPayments,"",ROW()-ROW(PaymentSchedule[[#Headers],[PMT NO]])),"")</f>
        <v>250</v>
      </c>
      <c r="C276" s="5">
        <f>IF(PaymentSchedule[[#This Row],[PMT NO]]&lt;&gt;"",EOMONTH(LoanStartDate,ROW(PaymentSchedule[[#This Row],[PMT NO]])-ROW(PaymentSchedule[[#Headers],[PMT NO]])-2)+DAY(LoanStartDate),"")</f>
        <v>53632</v>
      </c>
      <c r="D276" s="6">
        <f>IF(PaymentSchedule[[#This Row],[PMT NO]]&lt;&gt;"",IF(ROW()-ROW(PaymentSchedule[[#Headers],[BEGINNING BALANCE]])=1,LoanAmount,INDEX(PaymentSchedule[ENDING BALANCE],ROW()-ROW(PaymentSchedule[[#Headers],[BEGINNING BALANCE]])-1)),"")</f>
        <v>72242.430753422421</v>
      </c>
      <c r="E276" s="6">
        <f>IF(PaymentSchedule[[#This Row],[PMT NO]]&lt;&gt;"",ScheduledPayment,"")</f>
        <v>839.37073521385321</v>
      </c>
      <c r="F276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276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276" s="6">
        <f>IF(PaymentSchedule[[#This Row],[PMT NO]]&lt;&gt;"",PaymentSchedule[[#This Row],[TOTAL PAYMENT]]-PaymentSchedule[[#This Row],[INTEREST]],"")</f>
        <v>478.1585814467411</v>
      </c>
      <c r="I276" s="6">
        <f>IF(PaymentSchedule[[#This Row],[PMT NO]]&lt;&gt;"",PaymentSchedule[[#This Row],[BEGINNING BALANCE]]*(InterestRate/PaymentsPerYear),"")</f>
        <v>361.21215376711211</v>
      </c>
      <c r="J276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71764.272171975681</v>
      </c>
      <c r="K276" s="6">
        <f>IF(PaymentSchedule[[#This Row],[PMT NO]]&lt;&gt;"",SUM(INDEX(PaymentSchedule[INTEREST],1,1):PaymentSchedule[[#This Row],[INTEREST]]),"")</f>
        <v>140767.58524022516</v>
      </c>
    </row>
    <row r="277" spans="2:11" x14ac:dyDescent="0.2">
      <c r="B277" s="4">
        <f>IF(LoanIsGood,IF(ROW()-ROW(PaymentSchedule[[#Headers],[PMT NO]])&gt;ScheduledNumberOfPayments,"",ROW()-ROW(PaymentSchedule[[#Headers],[PMT NO]])),"")</f>
        <v>251</v>
      </c>
      <c r="C277" s="5">
        <f>IF(PaymentSchedule[[#This Row],[PMT NO]]&lt;&gt;"",EOMONTH(LoanStartDate,ROW(PaymentSchedule[[#This Row],[PMT NO]])-ROW(PaymentSchedule[[#Headers],[PMT NO]])-2)+DAY(LoanStartDate),"")</f>
        <v>53662</v>
      </c>
      <c r="D277" s="6">
        <f>IF(PaymentSchedule[[#This Row],[PMT NO]]&lt;&gt;"",IF(ROW()-ROW(PaymentSchedule[[#Headers],[BEGINNING BALANCE]])=1,LoanAmount,INDEX(PaymentSchedule[ENDING BALANCE],ROW()-ROW(PaymentSchedule[[#Headers],[BEGINNING BALANCE]])-1)),"")</f>
        <v>71764.272171975681</v>
      </c>
      <c r="E277" s="6">
        <f>IF(PaymentSchedule[[#This Row],[PMT NO]]&lt;&gt;"",ScheduledPayment,"")</f>
        <v>839.37073521385321</v>
      </c>
      <c r="F277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277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277" s="6">
        <f>IF(PaymentSchedule[[#This Row],[PMT NO]]&lt;&gt;"",PaymentSchedule[[#This Row],[TOTAL PAYMENT]]-PaymentSchedule[[#This Row],[INTEREST]],"")</f>
        <v>480.54937435397477</v>
      </c>
      <c r="I277" s="6">
        <f>IF(PaymentSchedule[[#This Row],[PMT NO]]&lt;&gt;"",PaymentSchedule[[#This Row],[BEGINNING BALANCE]]*(InterestRate/PaymentsPerYear),"")</f>
        <v>358.82136085987844</v>
      </c>
      <c r="J277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71283.722797621711</v>
      </c>
      <c r="K277" s="6">
        <f>IF(PaymentSchedule[[#This Row],[PMT NO]]&lt;&gt;"",SUM(INDEX(PaymentSchedule[INTEREST],1,1):PaymentSchedule[[#This Row],[INTEREST]]),"")</f>
        <v>141126.40660108504</v>
      </c>
    </row>
    <row r="278" spans="2:11" x14ac:dyDescent="0.2">
      <c r="B278" s="4">
        <f>IF(LoanIsGood,IF(ROW()-ROW(PaymentSchedule[[#Headers],[PMT NO]])&gt;ScheduledNumberOfPayments,"",ROW()-ROW(PaymentSchedule[[#Headers],[PMT NO]])),"")</f>
        <v>252</v>
      </c>
      <c r="C278" s="5">
        <f>IF(PaymentSchedule[[#This Row],[PMT NO]]&lt;&gt;"",EOMONTH(LoanStartDate,ROW(PaymentSchedule[[#This Row],[PMT NO]])-ROW(PaymentSchedule[[#Headers],[PMT NO]])-2)+DAY(LoanStartDate),"")</f>
        <v>53693</v>
      </c>
      <c r="D278" s="6">
        <f>IF(PaymentSchedule[[#This Row],[PMT NO]]&lt;&gt;"",IF(ROW()-ROW(PaymentSchedule[[#Headers],[BEGINNING BALANCE]])=1,LoanAmount,INDEX(PaymentSchedule[ENDING BALANCE],ROW()-ROW(PaymentSchedule[[#Headers],[BEGINNING BALANCE]])-1)),"")</f>
        <v>71283.722797621711</v>
      </c>
      <c r="E278" s="6">
        <f>IF(PaymentSchedule[[#This Row],[PMT NO]]&lt;&gt;"",ScheduledPayment,"")</f>
        <v>839.37073521385321</v>
      </c>
      <c r="F278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278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278" s="6">
        <f>IF(PaymentSchedule[[#This Row],[PMT NO]]&lt;&gt;"",PaymentSchedule[[#This Row],[TOTAL PAYMENT]]-PaymentSchedule[[#This Row],[INTEREST]],"")</f>
        <v>482.95212122574463</v>
      </c>
      <c r="I278" s="6">
        <f>IF(PaymentSchedule[[#This Row],[PMT NO]]&lt;&gt;"",PaymentSchedule[[#This Row],[BEGINNING BALANCE]]*(InterestRate/PaymentsPerYear),"")</f>
        <v>356.41861398810858</v>
      </c>
      <c r="J278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70800.770676395972</v>
      </c>
      <c r="K278" s="6">
        <f>IF(PaymentSchedule[[#This Row],[PMT NO]]&lt;&gt;"",SUM(INDEX(PaymentSchedule[INTEREST],1,1):PaymentSchedule[[#This Row],[INTEREST]]),"")</f>
        <v>141482.82521507316</v>
      </c>
    </row>
    <row r="279" spans="2:11" x14ac:dyDescent="0.2">
      <c r="B279" s="4">
        <f>IF(LoanIsGood,IF(ROW()-ROW(PaymentSchedule[[#Headers],[PMT NO]])&gt;ScheduledNumberOfPayments,"",ROW()-ROW(PaymentSchedule[[#Headers],[PMT NO]])),"")</f>
        <v>253</v>
      </c>
      <c r="C279" s="5">
        <f>IF(PaymentSchedule[[#This Row],[PMT NO]]&lt;&gt;"",EOMONTH(LoanStartDate,ROW(PaymentSchedule[[#This Row],[PMT NO]])-ROW(PaymentSchedule[[#Headers],[PMT NO]])-2)+DAY(LoanStartDate),"")</f>
        <v>53724</v>
      </c>
      <c r="D279" s="6">
        <f>IF(PaymentSchedule[[#This Row],[PMT NO]]&lt;&gt;"",IF(ROW()-ROW(PaymentSchedule[[#Headers],[BEGINNING BALANCE]])=1,LoanAmount,INDEX(PaymentSchedule[ENDING BALANCE],ROW()-ROW(PaymentSchedule[[#Headers],[BEGINNING BALANCE]])-1)),"")</f>
        <v>70800.770676395972</v>
      </c>
      <c r="E279" s="6">
        <f>IF(PaymentSchedule[[#This Row],[PMT NO]]&lt;&gt;"",ScheduledPayment,"")</f>
        <v>839.37073521385321</v>
      </c>
      <c r="F279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279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279" s="6">
        <f>IF(PaymentSchedule[[#This Row],[PMT NO]]&lt;&gt;"",PaymentSchedule[[#This Row],[TOTAL PAYMENT]]-PaymentSchedule[[#This Row],[INTEREST]],"")</f>
        <v>485.36688183187334</v>
      </c>
      <c r="I279" s="6">
        <f>IF(PaymentSchedule[[#This Row],[PMT NO]]&lt;&gt;"",PaymentSchedule[[#This Row],[BEGINNING BALANCE]]*(InterestRate/PaymentsPerYear),"")</f>
        <v>354.00385338197987</v>
      </c>
      <c r="J279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70315.403794564103</v>
      </c>
      <c r="K279" s="6">
        <f>IF(PaymentSchedule[[#This Row],[PMT NO]]&lt;&gt;"",SUM(INDEX(PaymentSchedule[INTEREST],1,1):PaymentSchedule[[#This Row],[INTEREST]]),"")</f>
        <v>141836.82906845515</v>
      </c>
    </row>
    <row r="280" spans="2:11" x14ac:dyDescent="0.2">
      <c r="B280" s="4">
        <f>IF(LoanIsGood,IF(ROW()-ROW(PaymentSchedule[[#Headers],[PMT NO]])&gt;ScheduledNumberOfPayments,"",ROW()-ROW(PaymentSchedule[[#Headers],[PMT NO]])),"")</f>
        <v>254</v>
      </c>
      <c r="C280" s="5">
        <f>IF(PaymentSchedule[[#This Row],[PMT NO]]&lt;&gt;"",EOMONTH(LoanStartDate,ROW(PaymentSchedule[[#This Row],[PMT NO]])-ROW(PaymentSchedule[[#Headers],[PMT NO]])-2)+DAY(LoanStartDate),"")</f>
        <v>53752</v>
      </c>
      <c r="D280" s="6">
        <f>IF(PaymentSchedule[[#This Row],[PMT NO]]&lt;&gt;"",IF(ROW()-ROW(PaymentSchedule[[#Headers],[BEGINNING BALANCE]])=1,LoanAmount,INDEX(PaymentSchedule[ENDING BALANCE],ROW()-ROW(PaymentSchedule[[#Headers],[BEGINNING BALANCE]])-1)),"")</f>
        <v>70315.403794564103</v>
      </c>
      <c r="E280" s="6">
        <f>IF(PaymentSchedule[[#This Row],[PMT NO]]&lt;&gt;"",ScheduledPayment,"")</f>
        <v>839.37073521385321</v>
      </c>
      <c r="F280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280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280" s="6">
        <f>IF(PaymentSchedule[[#This Row],[PMT NO]]&lt;&gt;"",PaymentSchedule[[#This Row],[TOTAL PAYMENT]]-PaymentSchedule[[#This Row],[INTEREST]],"")</f>
        <v>487.79371624103271</v>
      </c>
      <c r="I280" s="6">
        <f>IF(PaymentSchedule[[#This Row],[PMT NO]]&lt;&gt;"",PaymentSchedule[[#This Row],[BEGINNING BALANCE]]*(InterestRate/PaymentsPerYear),"")</f>
        <v>351.5770189728205</v>
      </c>
      <c r="J280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69827.610078323065</v>
      </c>
      <c r="K280" s="6">
        <f>IF(PaymentSchedule[[#This Row],[PMT NO]]&lt;&gt;"",SUM(INDEX(PaymentSchedule[INTEREST],1,1):PaymentSchedule[[#This Row],[INTEREST]]),"")</f>
        <v>142188.40608742795</v>
      </c>
    </row>
    <row r="281" spans="2:11" x14ac:dyDescent="0.2">
      <c r="B281" s="4">
        <f>IF(LoanIsGood,IF(ROW()-ROW(PaymentSchedule[[#Headers],[PMT NO]])&gt;ScheduledNumberOfPayments,"",ROW()-ROW(PaymentSchedule[[#Headers],[PMT NO]])),"")</f>
        <v>255</v>
      </c>
      <c r="C281" s="5">
        <f>IF(PaymentSchedule[[#This Row],[PMT NO]]&lt;&gt;"",EOMONTH(LoanStartDate,ROW(PaymentSchedule[[#This Row],[PMT NO]])-ROW(PaymentSchedule[[#Headers],[PMT NO]])-2)+DAY(LoanStartDate),"")</f>
        <v>53783</v>
      </c>
      <c r="D281" s="6">
        <f>IF(PaymentSchedule[[#This Row],[PMT NO]]&lt;&gt;"",IF(ROW()-ROW(PaymentSchedule[[#Headers],[BEGINNING BALANCE]])=1,LoanAmount,INDEX(PaymentSchedule[ENDING BALANCE],ROW()-ROW(PaymentSchedule[[#Headers],[BEGINNING BALANCE]])-1)),"")</f>
        <v>69827.610078323065</v>
      </c>
      <c r="E281" s="6">
        <f>IF(PaymentSchedule[[#This Row],[PMT NO]]&lt;&gt;"",ScheduledPayment,"")</f>
        <v>839.37073521385321</v>
      </c>
      <c r="F281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281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281" s="6">
        <f>IF(PaymentSchedule[[#This Row],[PMT NO]]&lt;&gt;"",PaymentSchedule[[#This Row],[TOTAL PAYMENT]]-PaymentSchedule[[#This Row],[INTEREST]],"")</f>
        <v>490.2326848222379</v>
      </c>
      <c r="I281" s="6">
        <f>IF(PaymentSchedule[[#This Row],[PMT NO]]&lt;&gt;"",PaymentSchedule[[#This Row],[BEGINNING BALANCE]]*(InterestRate/PaymentsPerYear),"")</f>
        <v>349.13805039161531</v>
      </c>
      <c r="J281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69337.377393500821</v>
      </c>
      <c r="K281" s="6">
        <f>IF(PaymentSchedule[[#This Row],[PMT NO]]&lt;&gt;"",SUM(INDEX(PaymentSchedule[INTEREST],1,1):PaymentSchedule[[#This Row],[INTEREST]]),"")</f>
        <v>142537.54413781958</v>
      </c>
    </row>
    <row r="282" spans="2:11" x14ac:dyDescent="0.2">
      <c r="B282" s="4">
        <f>IF(LoanIsGood,IF(ROW()-ROW(PaymentSchedule[[#Headers],[PMT NO]])&gt;ScheduledNumberOfPayments,"",ROW()-ROW(PaymentSchedule[[#Headers],[PMT NO]])),"")</f>
        <v>256</v>
      </c>
      <c r="C282" s="5">
        <f>IF(PaymentSchedule[[#This Row],[PMT NO]]&lt;&gt;"",EOMONTH(LoanStartDate,ROW(PaymentSchedule[[#This Row],[PMT NO]])-ROW(PaymentSchedule[[#Headers],[PMT NO]])-2)+DAY(LoanStartDate),"")</f>
        <v>53813</v>
      </c>
      <c r="D282" s="6">
        <f>IF(PaymentSchedule[[#This Row],[PMT NO]]&lt;&gt;"",IF(ROW()-ROW(PaymentSchedule[[#Headers],[BEGINNING BALANCE]])=1,LoanAmount,INDEX(PaymentSchedule[ENDING BALANCE],ROW()-ROW(PaymentSchedule[[#Headers],[BEGINNING BALANCE]])-1)),"")</f>
        <v>69337.377393500821</v>
      </c>
      <c r="E282" s="6">
        <f>IF(PaymentSchedule[[#This Row],[PMT NO]]&lt;&gt;"",ScheduledPayment,"")</f>
        <v>839.37073521385321</v>
      </c>
      <c r="F282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282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282" s="6">
        <f>IF(PaymentSchedule[[#This Row],[PMT NO]]&lt;&gt;"",PaymentSchedule[[#This Row],[TOTAL PAYMENT]]-PaymentSchedule[[#This Row],[INTEREST]],"")</f>
        <v>492.6838482463491</v>
      </c>
      <c r="I282" s="6">
        <f>IF(PaymentSchedule[[#This Row],[PMT NO]]&lt;&gt;"",PaymentSchedule[[#This Row],[BEGINNING BALANCE]]*(InterestRate/PaymentsPerYear),"")</f>
        <v>346.68688696750411</v>
      </c>
      <c r="J282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68844.693545254471</v>
      </c>
      <c r="K282" s="6">
        <f>IF(PaymentSchedule[[#This Row],[PMT NO]]&lt;&gt;"",SUM(INDEX(PaymentSchedule[INTEREST],1,1):PaymentSchedule[[#This Row],[INTEREST]]),"")</f>
        <v>142884.23102478709</v>
      </c>
    </row>
    <row r="283" spans="2:11" x14ac:dyDescent="0.2">
      <c r="B283" s="4">
        <f>IF(LoanIsGood,IF(ROW()-ROW(PaymentSchedule[[#Headers],[PMT NO]])&gt;ScheduledNumberOfPayments,"",ROW()-ROW(PaymentSchedule[[#Headers],[PMT NO]])),"")</f>
        <v>257</v>
      </c>
      <c r="C283" s="5">
        <f>IF(PaymentSchedule[[#This Row],[PMT NO]]&lt;&gt;"",EOMONTH(LoanStartDate,ROW(PaymentSchedule[[#This Row],[PMT NO]])-ROW(PaymentSchedule[[#Headers],[PMT NO]])-2)+DAY(LoanStartDate),"")</f>
        <v>53844</v>
      </c>
      <c r="D283" s="6">
        <f>IF(PaymentSchedule[[#This Row],[PMT NO]]&lt;&gt;"",IF(ROW()-ROW(PaymentSchedule[[#Headers],[BEGINNING BALANCE]])=1,LoanAmount,INDEX(PaymentSchedule[ENDING BALANCE],ROW()-ROW(PaymentSchedule[[#Headers],[BEGINNING BALANCE]])-1)),"")</f>
        <v>68844.693545254471</v>
      </c>
      <c r="E283" s="6">
        <f>IF(PaymentSchedule[[#This Row],[PMT NO]]&lt;&gt;"",ScheduledPayment,"")</f>
        <v>839.37073521385321</v>
      </c>
      <c r="F283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283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283" s="6">
        <f>IF(PaymentSchedule[[#This Row],[PMT NO]]&lt;&gt;"",PaymentSchedule[[#This Row],[TOTAL PAYMENT]]-PaymentSchedule[[#This Row],[INTEREST]],"")</f>
        <v>495.14726748758085</v>
      </c>
      <c r="I283" s="6">
        <f>IF(PaymentSchedule[[#This Row],[PMT NO]]&lt;&gt;"",PaymentSchedule[[#This Row],[BEGINNING BALANCE]]*(InterestRate/PaymentsPerYear),"")</f>
        <v>344.22346772627236</v>
      </c>
      <c r="J283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68349.546277766887</v>
      </c>
      <c r="K283" s="6">
        <f>IF(PaymentSchedule[[#This Row],[PMT NO]]&lt;&gt;"",SUM(INDEX(PaymentSchedule[INTEREST],1,1):PaymentSchedule[[#This Row],[INTEREST]]),"")</f>
        <v>143228.45449251335</v>
      </c>
    </row>
    <row r="284" spans="2:11" x14ac:dyDescent="0.2">
      <c r="B284" s="4">
        <f>IF(LoanIsGood,IF(ROW()-ROW(PaymentSchedule[[#Headers],[PMT NO]])&gt;ScheduledNumberOfPayments,"",ROW()-ROW(PaymentSchedule[[#Headers],[PMT NO]])),"")</f>
        <v>258</v>
      </c>
      <c r="C284" s="5">
        <f>IF(PaymentSchedule[[#This Row],[PMT NO]]&lt;&gt;"",EOMONTH(LoanStartDate,ROW(PaymentSchedule[[#This Row],[PMT NO]])-ROW(PaymentSchedule[[#Headers],[PMT NO]])-2)+DAY(LoanStartDate),"")</f>
        <v>53874</v>
      </c>
      <c r="D284" s="6">
        <f>IF(PaymentSchedule[[#This Row],[PMT NO]]&lt;&gt;"",IF(ROW()-ROW(PaymentSchedule[[#Headers],[BEGINNING BALANCE]])=1,LoanAmount,INDEX(PaymentSchedule[ENDING BALANCE],ROW()-ROW(PaymentSchedule[[#Headers],[BEGINNING BALANCE]])-1)),"")</f>
        <v>68349.546277766887</v>
      </c>
      <c r="E284" s="6">
        <f>IF(PaymentSchedule[[#This Row],[PMT NO]]&lt;&gt;"",ScheduledPayment,"")</f>
        <v>839.37073521385321</v>
      </c>
      <c r="F284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284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284" s="6">
        <f>IF(PaymentSchedule[[#This Row],[PMT NO]]&lt;&gt;"",PaymentSchedule[[#This Row],[TOTAL PAYMENT]]-PaymentSchedule[[#This Row],[INTEREST]],"")</f>
        <v>497.62300382501877</v>
      </c>
      <c r="I284" s="6">
        <f>IF(PaymentSchedule[[#This Row],[PMT NO]]&lt;&gt;"",PaymentSchedule[[#This Row],[BEGINNING BALANCE]]*(InterestRate/PaymentsPerYear),"")</f>
        <v>341.74773138883444</v>
      </c>
      <c r="J284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67851.923273941866</v>
      </c>
      <c r="K284" s="6">
        <f>IF(PaymentSchedule[[#This Row],[PMT NO]]&lt;&gt;"",SUM(INDEX(PaymentSchedule[INTEREST],1,1):PaymentSchedule[[#This Row],[INTEREST]]),"")</f>
        <v>143570.20222390219</v>
      </c>
    </row>
    <row r="285" spans="2:11" x14ac:dyDescent="0.2">
      <c r="B285" s="4">
        <f>IF(LoanIsGood,IF(ROW()-ROW(PaymentSchedule[[#Headers],[PMT NO]])&gt;ScheduledNumberOfPayments,"",ROW()-ROW(PaymentSchedule[[#Headers],[PMT NO]])),"")</f>
        <v>259</v>
      </c>
      <c r="C285" s="5">
        <f>IF(PaymentSchedule[[#This Row],[PMT NO]]&lt;&gt;"",EOMONTH(LoanStartDate,ROW(PaymentSchedule[[#This Row],[PMT NO]])-ROW(PaymentSchedule[[#Headers],[PMT NO]])-2)+DAY(LoanStartDate),"")</f>
        <v>53905</v>
      </c>
      <c r="D285" s="6">
        <f>IF(PaymentSchedule[[#This Row],[PMT NO]]&lt;&gt;"",IF(ROW()-ROW(PaymentSchedule[[#Headers],[BEGINNING BALANCE]])=1,LoanAmount,INDEX(PaymentSchedule[ENDING BALANCE],ROW()-ROW(PaymentSchedule[[#Headers],[BEGINNING BALANCE]])-1)),"")</f>
        <v>67851.923273941866</v>
      </c>
      <c r="E285" s="6">
        <f>IF(PaymentSchedule[[#This Row],[PMT NO]]&lt;&gt;"",ScheduledPayment,"")</f>
        <v>839.37073521385321</v>
      </c>
      <c r="F285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285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285" s="6">
        <f>IF(PaymentSchedule[[#This Row],[PMT NO]]&lt;&gt;"",PaymentSchedule[[#This Row],[TOTAL PAYMENT]]-PaymentSchedule[[#This Row],[INTEREST]],"")</f>
        <v>500.11111884414385</v>
      </c>
      <c r="I285" s="6">
        <f>IF(PaymentSchedule[[#This Row],[PMT NO]]&lt;&gt;"",PaymentSchedule[[#This Row],[BEGINNING BALANCE]]*(InterestRate/PaymentsPerYear),"")</f>
        <v>339.25961636970936</v>
      </c>
      <c r="J285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67351.812155097723</v>
      </c>
      <c r="K285" s="6">
        <f>IF(PaymentSchedule[[#This Row],[PMT NO]]&lt;&gt;"",SUM(INDEX(PaymentSchedule[INTEREST],1,1):PaymentSchedule[[#This Row],[INTEREST]]),"")</f>
        <v>143909.46184027189</v>
      </c>
    </row>
    <row r="286" spans="2:11" x14ac:dyDescent="0.2">
      <c r="B286" s="4">
        <f>IF(LoanIsGood,IF(ROW()-ROW(PaymentSchedule[[#Headers],[PMT NO]])&gt;ScheduledNumberOfPayments,"",ROW()-ROW(PaymentSchedule[[#Headers],[PMT NO]])),"")</f>
        <v>260</v>
      </c>
      <c r="C286" s="5">
        <f>IF(PaymentSchedule[[#This Row],[PMT NO]]&lt;&gt;"",EOMONTH(LoanStartDate,ROW(PaymentSchedule[[#This Row],[PMT NO]])-ROW(PaymentSchedule[[#Headers],[PMT NO]])-2)+DAY(LoanStartDate),"")</f>
        <v>53936</v>
      </c>
      <c r="D286" s="6">
        <f>IF(PaymentSchedule[[#This Row],[PMT NO]]&lt;&gt;"",IF(ROW()-ROW(PaymentSchedule[[#Headers],[BEGINNING BALANCE]])=1,LoanAmount,INDEX(PaymentSchedule[ENDING BALANCE],ROW()-ROW(PaymentSchedule[[#Headers],[BEGINNING BALANCE]])-1)),"")</f>
        <v>67351.812155097723</v>
      </c>
      <c r="E286" s="6">
        <f>IF(PaymentSchedule[[#This Row],[PMT NO]]&lt;&gt;"",ScheduledPayment,"")</f>
        <v>839.37073521385321</v>
      </c>
      <c r="F286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286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286" s="6">
        <f>IF(PaymentSchedule[[#This Row],[PMT NO]]&lt;&gt;"",PaymentSchedule[[#This Row],[TOTAL PAYMENT]]-PaymentSchedule[[#This Row],[INTEREST]],"")</f>
        <v>502.61167443836456</v>
      </c>
      <c r="I286" s="6">
        <f>IF(PaymentSchedule[[#This Row],[PMT NO]]&lt;&gt;"",PaymentSchedule[[#This Row],[BEGINNING BALANCE]]*(InterestRate/PaymentsPerYear),"")</f>
        <v>336.75906077548865</v>
      </c>
      <c r="J286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66849.200480659361</v>
      </c>
      <c r="K286" s="6">
        <f>IF(PaymentSchedule[[#This Row],[PMT NO]]&lt;&gt;"",SUM(INDEX(PaymentSchedule[INTEREST],1,1):PaymentSchedule[[#This Row],[INTEREST]]),"")</f>
        <v>144246.22090104737</v>
      </c>
    </row>
    <row r="287" spans="2:11" x14ac:dyDescent="0.2">
      <c r="B287" s="4">
        <f>IF(LoanIsGood,IF(ROW()-ROW(PaymentSchedule[[#Headers],[PMT NO]])&gt;ScheduledNumberOfPayments,"",ROW()-ROW(PaymentSchedule[[#Headers],[PMT NO]])),"")</f>
        <v>261</v>
      </c>
      <c r="C287" s="5">
        <f>IF(PaymentSchedule[[#This Row],[PMT NO]]&lt;&gt;"",EOMONTH(LoanStartDate,ROW(PaymentSchedule[[#This Row],[PMT NO]])-ROW(PaymentSchedule[[#Headers],[PMT NO]])-2)+DAY(LoanStartDate),"")</f>
        <v>53966</v>
      </c>
      <c r="D287" s="6">
        <f>IF(PaymentSchedule[[#This Row],[PMT NO]]&lt;&gt;"",IF(ROW()-ROW(PaymentSchedule[[#Headers],[BEGINNING BALANCE]])=1,LoanAmount,INDEX(PaymentSchedule[ENDING BALANCE],ROW()-ROW(PaymentSchedule[[#Headers],[BEGINNING BALANCE]])-1)),"")</f>
        <v>66849.200480659361</v>
      </c>
      <c r="E287" s="6">
        <f>IF(PaymentSchedule[[#This Row],[PMT NO]]&lt;&gt;"",ScheduledPayment,"")</f>
        <v>839.37073521385321</v>
      </c>
      <c r="F287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287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287" s="6">
        <f>IF(PaymentSchedule[[#This Row],[PMT NO]]&lt;&gt;"",PaymentSchedule[[#This Row],[TOTAL PAYMENT]]-PaymentSchedule[[#This Row],[INTEREST]],"")</f>
        <v>505.1247328105564</v>
      </c>
      <c r="I287" s="6">
        <f>IF(PaymentSchedule[[#This Row],[PMT NO]]&lt;&gt;"",PaymentSchedule[[#This Row],[BEGINNING BALANCE]]*(InterestRate/PaymentsPerYear),"")</f>
        <v>334.24600240329681</v>
      </c>
      <c r="J287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66344.075747848809</v>
      </c>
      <c r="K287" s="6">
        <f>IF(PaymentSchedule[[#This Row],[PMT NO]]&lt;&gt;"",SUM(INDEX(PaymentSchedule[INTEREST],1,1):PaymentSchedule[[#This Row],[INTEREST]]),"")</f>
        <v>144580.46690345067</v>
      </c>
    </row>
    <row r="288" spans="2:11" x14ac:dyDescent="0.2">
      <c r="B288" s="4">
        <f>IF(LoanIsGood,IF(ROW()-ROW(PaymentSchedule[[#Headers],[PMT NO]])&gt;ScheduledNumberOfPayments,"",ROW()-ROW(PaymentSchedule[[#Headers],[PMT NO]])),"")</f>
        <v>262</v>
      </c>
      <c r="C288" s="5">
        <f>IF(PaymentSchedule[[#This Row],[PMT NO]]&lt;&gt;"",EOMONTH(LoanStartDate,ROW(PaymentSchedule[[#This Row],[PMT NO]])-ROW(PaymentSchedule[[#Headers],[PMT NO]])-2)+DAY(LoanStartDate),"")</f>
        <v>53997</v>
      </c>
      <c r="D288" s="6">
        <f>IF(PaymentSchedule[[#This Row],[PMT NO]]&lt;&gt;"",IF(ROW()-ROW(PaymentSchedule[[#Headers],[BEGINNING BALANCE]])=1,LoanAmount,INDEX(PaymentSchedule[ENDING BALANCE],ROW()-ROW(PaymentSchedule[[#Headers],[BEGINNING BALANCE]])-1)),"")</f>
        <v>66344.075747848809</v>
      </c>
      <c r="E288" s="6">
        <f>IF(PaymentSchedule[[#This Row],[PMT NO]]&lt;&gt;"",ScheduledPayment,"")</f>
        <v>839.37073521385321</v>
      </c>
      <c r="F288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288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288" s="6">
        <f>IF(PaymentSchedule[[#This Row],[PMT NO]]&lt;&gt;"",PaymentSchedule[[#This Row],[TOTAL PAYMENT]]-PaymentSchedule[[#This Row],[INTEREST]],"")</f>
        <v>507.65035647460917</v>
      </c>
      <c r="I288" s="6">
        <f>IF(PaymentSchedule[[#This Row],[PMT NO]]&lt;&gt;"",PaymentSchedule[[#This Row],[BEGINNING BALANCE]]*(InterestRate/PaymentsPerYear),"")</f>
        <v>331.72037873924404</v>
      </c>
      <c r="J288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65836.4253913742</v>
      </c>
      <c r="K288" s="6">
        <f>IF(PaymentSchedule[[#This Row],[PMT NO]]&lt;&gt;"",SUM(INDEX(PaymentSchedule[INTEREST],1,1):PaymentSchedule[[#This Row],[INTEREST]]),"")</f>
        <v>144912.1872821899</v>
      </c>
    </row>
    <row r="289" spans="2:11" x14ac:dyDescent="0.2">
      <c r="B289" s="4">
        <f>IF(LoanIsGood,IF(ROW()-ROW(PaymentSchedule[[#Headers],[PMT NO]])&gt;ScheduledNumberOfPayments,"",ROW()-ROW(PaymentSchedule[[#Headers],[PMT NO]])),"")</f>
        <v>263</v>
      </c>
      <c r="C289" s="5">
        <f>IF(PaymentSchedule[[#This Row],[PMT NO]]&lt;&gt;"",EOMONTH(LoanStartDate,ROW(PaymentSchedule[[#This Row],[PMT NO]])-ROW(PaymentSchedule[[#Headers],[PMT NO]])-2)+DAY(LoanStartDate),"")</f>
        <v>54027</v>
      </c>
      <c r="D289" s="6">
        <f>IF(PaymentSchedule[[#This Row],[PMT NO]]&lt;&gt;"",IF(ROW()-ROW(PaymentSchedule[[#Headers],[BEGINNING BALANCE]])=1,LoanAmount,INDEX(PaymentSchedule[ENDING BALANCE],ROW()-ROW(PaymentSchedule[[#Headers],[BEGINNING BALANCE]])-1)),"")</f>
        <v>65836.4253913742</v>
      </c>
      <c r="E289" s="6">
        <f>IF(PaymentSchedule[[#This Row],[PMT NO]]&lt;&gt;"",ScheduledPayment,"")</f>
        <v>839.37073521385321</v>
      </c>
      <c r="F289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289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289" s="6">
        <f>IF(PaymentSchedule[[#This Row],[PMT NO]]&lt;&gt;"",PaymentSchedule[[#This Row],[TOTAL PAYMENT]]-PaymentSchedule[[#This Row],[INTEREST]],"")</f>
        <v>510.18860825698221</v>
      </c>
      <c r="I289" s="6">
        <f>IF(PaymentSchedule[[#This Row],[PMT NO]]&lt;&gt;"",PaymentSchedule[[#This Row],[BEGINNING BALANCE]]*(InterestRate/PaymentsPerYear),"")</f>
        <v>329.182126956871</v>
      </c>
      <c r="J289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65326.236783117216</v>
      </c>
      <c r="K289" s="6">
        <f>IF(PaymentSchedule[[#This Row],[PMT NO]]&lt;&gt;"",SUM(INDEX(PaymentSchedule[INTEREST],1,1):PaymentSchedule[[#This Row],[INTEREST]]),"")</f>
        <v>145241.36940914678</v>
      </c>
    </row>
    <row r="290" spans="2:11" x14ac:dyDescent="0.2">
      <c r="B290" s="4">
        <f>IF(LoanIsGood,IF(ROW()-ROW(PaymentSchedule[[#Headers],[PMT NO]])&gt;ScheduledNumberOfPayments,"",ROW()-ROW(PaymentSchedule[[#Headers],[PMT NO]])),"")</f>
        <v>264</v>
      </c>
      <c r="C290" s="5">
        <f>IF(PaymentSchedule[[#This Row],[PMT NO]]&lt;&gt;"",EOMONTH(LoanStartDate,ROW(PaymentSchedule[[#This Row],[PMT NO]])-ROW(PaymentSchedule[[#Headers],[PMT NO]])-2)+DAY(LoanStartDate),"")</f>
        <v>54058</v>
      </c>
      <c r="D290" s="6">
        <f>IF(PaymentSchedule[[#This Row],[PMT NO]]&lt;&gt;"",IF(ROW()-ROW(PaymentSchedule[[#Headers],[BEGINNING BALANCE]])=1,LoanAmount,INDEX(PaymentSchedule[ENDING BALANCE],ROW()-ROW(PaymentSchedule[[#Headers],[BEGINNING BALANCE]])-1)),"")</f>
        <v>65326.236783117216</v>
      </c>
      <c r="E290" s="6">
        <f>IF(PaymentSchedule[[#This Row],[PMT NO]]&lt;&gt;"",ScheduledPayment,"")</f>
        <v>839.37073521385321</v>
      </c>
      <c r="F290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290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290" s="6">
        <f>IF(PaymentSchedule[[#This Row],[PMT NO]]&lt;&gt;"",PaymentSchedule[[#This Row],[TOTAL PAYMENT]]-PaymentSchedule[[#This Row],[INTEREST]],"")</f>
        <v>512.73955129826709</v>
      </c>
      <c r="I290" s="6">
        <f>IF(PaymentSchedule[[#This Row],[PMT NO]]&lt;&gt;"",PaymentSchedule[[#This Row],[BEGINNING BALANCE]]*(InterestRate/PaymentsPerYear),"")</f>
        <v>326.63118391558606</v>
      </c>
      <c r="J290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64813.497231818947</v>
      </c>
      <c r="K290" s="6">
        <f>IF(PaymentSchedule[[#This Row],[PMT NO]]&lt;&gt;"",SUM(INDEX(PaymentSchedule[INTEREST],1,1):PaymentSchedule[[#This Row],[INTEREST]]),"")</f>
        <v>145568.00059306237</v>
      </c>
    </row>
    <row r="291" spans="2:11" x14ac:dyDescent="0.2">
      <c r="B291" s="4">
        <f>IF(LoanIsGood,IF(ROW()-ROW(PaymentSchedule[[#Headers],[PMT NO]])&gt;ScheduledNumberOfPayments,"",ROW()-ROW(PaymentSchedule[[#Headers],[PMT NO]])),"")</f>
        <v>265</v>
      </c>
      <c r="C291" s="5">
        <f>IF(PaymentSchedule[[#This Row],[PMT NO]]&lt;&gt;"",EOMONTH(LoanStartDate,ROW(PaymentSchedule[[#This Row],[PMT NO]])-ROW(PaymentSchedule[[#Headers],[PMT NO]])-2)+DAY(LoanStartDate),"")</f>
        <v>54089</v>
      </c>
      <c r="D291" s="6">
        <f>IF(PaymentSchedule[[#This Row],[PMT NO]]&lt;&gt;"",IF(ROW()-ROW(PaymentSchedule[[#Headers],[BEGINNING BALANCE]])=1,LoanAmount,INDEX(PaymentSchedule[ENDING BALANCE],ROW()-ROW(PaymentSchedule[[#Headers],[BEGINNING BALANCE]])-1)),"")</f>
        <v>64813.497231818947</v>
      </c>
      <c r="E291" s="6">
        <f>IF(PaymentSchedule[[#This Row],[PMT NO]]&lt;&gt;"",ScheduledPayment,"")</f>
        <v>839.37073521385321</v>
      </c>
      <c r="F291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291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291" s="6">
        <f>IF(PaymentSchedule[[#This Row],[PMT NO]]&lt;&gt;"",PaymentSchedule[[#This Row],[TOTAL PAYMENT]]-PaymentSchedule[[#This Row],[INTEREST]],"")</f>
        <v>515.30324905475845</v>
      </c>
      <c r="I291" s="6">
        <f>IF(PaymentSchedule[[#This Row],[PMT NO]]&lt;&gt;"",PaymentSchedule[[#This Row],[BEGINNING BALANCE]]*(InterestRate/PaymentsPerYear),"")</f>
        <v>324.06748615909476</v>
      </c>
      <c r="J291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64298.193982764191</v>
      </c>
      <c r="K291" s="6">
        <f>IF(PaymentSchedule[[#This Row],[PMT NO]]&lt;&gt;"",SUM(INDEX(PaymentSchedule[INTEREST],1,1):PaymentSchedule[[#This Row],[INTEREST]]),"")</f>
        <v>145892.06807922147</v>
      </c>
    </row>
    <row r="292" spans="2:11" x14ac:dyDescent="0.2">
      <c r="B292" s="4">
        <f>IF(LoanIsGood,IF(ROW()-ROW(PaymentSchedule[[#Headers],[PMT NO]])&gt;ScheduledNumberOfPayments,"",ROW()-ROW(PaymentSchedule[[#Headers],[PMT NO]])),"")</f>
        <v>266</v>
      </c>
      <c r="C292" s="5">
        <f>IF(PaymentSchedule[[#This Row],[PMT NO]]&lt;&gt;"",EOMONTH(LoanStartDate,ROW(PaymentSchedule[[#This Row],[PMT NO]])-ROW(PaymentSchedule[[#Headers],[PMT NO]])-2)+DAY(LoanStartDate),"")</f>
        <v>54118</v>
      </c>
      <c r="D292" s="6">
        <f>IF(PaymentSchedule[[#This Row],[PMT NO]]&lt;&gt;"",IF(ROW()-ROW(PaymentSchedule[[#Headers],[BEGINNING BALANCE]])=1,LoanAmount,INDEX(PaymentSchedule[ENDING BALANCE],ROW()-ROW(PaymentSchedule[[#Headers],[BEGINNING BALANCE]])-1)),"")</f>
        <v>64298.193982764191</v>
      </c>
      <c r="E292" s="6">
        <f>IF(PaymentSchedule[[#This Row],[PMT NO]]&lt;&gt;"",ScheduledPayment,"")</f>
        <v>839.37073521385321</v>
      </c>
      <c r="F292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292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292" s="6">
        <f>IF(PaymentSchedule[[#This Row],[PMT NO]]&lt;&gt;"",PaymentSchedule[[#This Row],[TOTAL PAYMENT]]-PaymentSchedule[[#This Row],[INTEREST]],"")</f>
        <v>517.8797653000322</v>
      </c>
      <c r="I292" s="6">
        <f>IF(PaymentSchedule[[#This Row],[PMT NO]]&lt;&gt;"",PaymentSchedule[[#This Row],[BEGINNING BALANCE]]*(InterestRate/PaymentsPerYear),"")</f>
        <v>321.49096991382095</v>
      </c>
      <c r="J292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63780.314217464162</v>
      </c>
      <c r="K292" s="6">
        <f>IF(PaymentSchedule[[#This Row],[PMT NO]]&lt;&gt;"",SUM(INDEX(PaymentSchedule[INTEREST],1,1):PaymentSchedule[[#This Row],[INTEREST]]),"")</f>
        <v>146213.55904913528</v>
      </c>
    </row>
    <row r="293" spans="2:11" x14ac:dyDescent="0.2">
      <c r="B293" s="4">
        <f>IF(LoanIsGood,IF(ROW()-ROW(PaymentSchedule[[#Headers],[PMT NO]])&gt;ScheduledNumberOfPayments,"",ROW()-ROW(PaymentSchedule[[#Headers],[PMT NO]])),"")</f>
        <v>267</v>
      </c>
      <c r="C293" s="5">
        <f>IF(PaymentSchedule[[#This Row],[PMT NO]]&lt;&gt;"",EOMONTH(LoanStartDate,ROW(PaymentSchedule[[#This Row],[PMT NO]])-ROW(PaymentSchedule[[#Headers],[PMT NO]])-2)+DAY(LoanStartDate),"")</f>
        <v>54149</v>
      </c>
      <c r="D293" s="6">
        <f>IF(PaymentSchedule[[#This Row],[PMT NO]]&lt;&gt;"",IF(ROW()-ROW(PaymentSchedule[[#Headers],[BEGINNING BALANCE]])=1,LoanAmount,INDEX(PaymentSchedule[ENDING BALANCE],ROW()-ROW(PaymentSchedule[[#Headers],[BEGINNING BALANCE]])-1)),"")</f>
        <v>63780.314217464162</v>
      </c>
      <c r="E293" s="6">
        <f>IF(PaymentSchedule[[#This Row],[PMT NO]]&lt;&gt;"",ScheduledPayment,"")</f>
        <v>839.37073521385321</v>
      </c>
      <c r="F293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293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293" s="6">
        <f>IF(PaymentSchedule[[#This Row],[PMT NO]]&lt;&gt;"",PaymentSchedule[[#This Row],[TOTAL PAYMENT]]-PaymentSchedule[[#This Row],[INTEREST]],"")</f>
        <v>520.46916412653241</v>
      </c>
      <c r="I293" s="6">
        <f>IF(PaymentSchedule[[#This Row],[PMT NO]]&lt;&gt;"",PaymentSchedule[[#This Row],[BEGINNING BALANCE]]*(InterestRate/PaymentsPerYear),"")</f>
        <v>318.9015710873208</v>
      </c>
      <c r="J293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63259.845053337631</v>
      </c>
      <c r="K293" s="6">
        <f>IF(PaymentSchedule[[#This Row],[PMT NO]]&lt;&gt;"",SUM(INDEX(PaymentSchedule[INTEREST],1,1):PaymentSchedule[[#This Row],[INTEREST]]),"")</f>
        <v>146532.46062022258</v>
      </c>
    </row>
    <row r="294" spans="2:11" x14ac:dyDescent="0.2">
      <c r="B294" s="4">
        <f>IF(LoanIsGood,IF(ROW()-ROW(PaymentSchedule[[#Headers],[PMT NO]])&gt;ScheduledNumberOfPayments,"",ROW()-ROW(PaymentSchedule[[#Headers],[PMT NO]])),"")</f>
        <v>268</v>
      </c>
      <c r="C294" s="5">
        <f>IF(PaymentSchedule[[#This Row],[PMT NO]]&lt;&gt;"",EOMONTH(LoanStartDate,ROW(PaymentSchedule[[#This Row],[PMT NO]])-ROW(PaymentSchedule[[#Headers],[PMT NO]])-2)+DAY(LoanStartDate),"")</f>
        <v>54179</v>
      </c>
      <c r="D294" s="6">
        <f>IF(PaymentSchedule[[#This Row],[PMT NO]]&lt;&gt;"",IF(ROW()-ROW(PaymentSchedule[[#Headers],[BEGINNING BALANCE]])=1,LoanAmount,INDEX(PaymentSchedule[ENDING BALANCE],ROW()-ROW(PaymentSchedule[[#Headers],[BEGINNING BALANCE]])-1)),"")</f>
        <v>63259.845053337631</v>
      </c>
      <c r="E294" s="6">
        <f>IF(PaymentSchedule[[#This Row],[PMT NO]]&lt;&gt;"",ScheduledPayment,"")</f>
        <v>839.37073521385321</v>
      </c>
      <c r="F294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294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294" s="6">
        <f>IF(PaymentSchedule[[#This Row],[PMT NO]]&lt;&gt;"",PaymentSchedule[[#This Row],[TOTAL PAYMENT]]-PaymentSchedule[[#This Row],[INTEREST]],"")</f>
        <v>523.07150994716505</v>
      </c>
      <c r="I294" s="6">
        <f>IF(PaymentSchedule[[#This Row],[PMT NO]]&lt;&gt;"",PaymentSchedule[[#This Row],[BEGINNING BALANCE]]*(InterestRate/PaymentsPerYear),"")</f>
        <v>316.29922526668815</v>
      </c>
      <c r="J294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62736.773543390467</v>
      </c>
      <c r="K294" s="6">
        <f>IF(PaymentSchedule[[#This Row],[PMT NO]]&lt;&gt;"",SUM(INDEX(PaymentSchedule[INTEREST],1,1):PaymentSchedule[[#This Row],[INTEREST]]),"")</f>
        <v>146848.75984548929</v>
      </c>
    </row>
    <row r="295" spans="2:11" x14ac:dyDescent="0.2">
      <c r="B295" s="4">
        <f>IF(LoanIsGood,IF(ROW()-ROW(PaymentSchedule[[#Headers],[PMT NO]])&gt;ScheduledNumberOfPayments,"",ROW()-ROW(PaymentSchedule[[#Headers],[PMT NO]])),"")</f>
        <v>269</v>
      </c>
      <c r="C295" s="5">
        <f>IF(PaymentSchedule[[#This Row],[PMT NO]]&lt;&gt;"",EOMONTH(LoanStartDate,ROW(PaymentSchedule[[#This Row],[PMT NO]])-ROW(PaymentSchedule[[#Headers],[PMT NO]])-2)+DAY(LoanStartDate),"")</f>
        <v>54210</v>
      </c>
      <c r="D295" s="6">
        <f>IF(PaymentSchedule[[#This Row],[PMT NO]]&lt;&gt;"",IF(ROW()-ROW(PaymentSchedule[[#Headers],[BEGINNING BALANCE]])=1,LoanAmount,INDEX(PaymentSchedule[ENDING BALANCE],ROW()-ROW(PaymentSchedule[[#Headers],[BEGINNING BALANCE]])-1)),"")</f>
        <v>62736.773543390467</v>
      </c>
      <c r="E295" s="6">
        <f>IF(PaymentSchedule[[#This Row],[PMT NO]]&lt;&gt;"",ScheduledPayment,"")</f>
        <v>839.37073521385321</v>
      </c>
      <c r="F295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295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295" s="6">
        <f>IF(PaymentSchedule[[#This Row],[PMT NO]]&lt;&gt;"",PaymentSchedule[[#This Row],[TOTAL PAYMENT]]-PaymentSchedule[[#This Row],[INTEREST]],"")</f>
        <v>525.68686749690085</v>
      </c>
      <c r="I295" s="6">
        <f>IF(PaymentSchedule[[#This Row],[PMT NO]]&lt;&gt;"",PaymentSchedule[[#This Row],[BEGINNING BALANCE]]*(InterestRate/PaymentsPerYear),"")</f>
        <v>313.68386771695236</v>
      </c>
      <c r="J295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62211.086675893566</v>
      </c>
      <c r="K295" s="6">
        <f>IF(PaymentSchedule[[#This Row],[PMT NO]]&lt;&gt;"",SUM(INDEX(PaymentSchedule[INTEREST],1,1):PaymentSchedule[[#This Row],[INTEREST]]),"")</f>
        <v>147162.44371320624</v>
      </c>
    </row>
    <row r="296" spans="2:11" x14ac:dyDescent="0.2">
      <c r="B296" s="4">
        <f>IF(LoanIsGood,IF(ROW()-ROW(PaymentSchedule[[#Headers],[PMT NO]])&gt;ScheduledNumberOfPayments,"",ROW()-ROW(PaymentSchedule[[#Headers],[PMT NO]])),"")</f>
        <v>270</v>
      </c>
      <c r="C296" s="5">
        <f>IF(PaymentSchedule[[#This Row],[PMT NO]]&lt;&gt;"",EOMONTH(LoanStartDate,ROW(PaymentSchedule[[#This Row],[PMT NO]])-ROW(PaymentSchedule[[#Headers],[PMT NO]])-2)+DAY(LoanStartDate),"")</f>
        <v>54240</v>
      </c>
      <c r="D296" s="6">
        <f>IF(PaymentSchedule[[#This Row],[PMT NO]]&lt;&gt;"",IF(ROW()-ROW(PaymentSchedule[[#Headers],[BEGINNING BALANCE]])=1,LoanAmount,INDEX(PaymentSchedule[ENDING BALANCE],ROW()-ROW(PaymentSchedule[[#Headers],[BEGINNING BALANCE]])-1)),"")</f>
        <v>62211.086675893566</v>
      </c>
      <c r="E296" s="6">
        <f>IF(PaymentSchedule[[#This Row],[PMT NO]]&lt;&gt;"",ScheduledPayment,"")</f>
        <v>839.37073521385321</v>
      </c>
      <c r="F296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296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296" s="6">
        <f>IF(PaymentSchedule[[#This Row],[PMT NO]]&lt;&gt;"",PaymentSchedule[[#This Row],[TOTAL PAYMENT]]-PaymentSchedule[[#This Row],[INTEREST]],"")</f>
        <v>528.31530183438531</v>
      </c>
      <c r="I296" s="6">
        <f>IF(PaymentSchedule[[#This Row],[PMT NO]]&lt;&gt;"",PaymentSchedule[[#This Row],[BEGINNING BALANCE]]*(InterestRate/PaymentsPerYear),"")</f>
        <v>311.05543337946784</v>
      </c>
      <c r="J296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61682.771374059179</v>
      </c>
      <c r="K296" s="6">
        <f>IF(PaymentSchedule[[#This Row],[PMT NO]]&lt;&gt;"",SUM(INDEX(PaymentSchedule[INTEREST],1,1):PaymentSchedule[[#This Row],[INTEREST]]),"")</f>
        <v>147473.4991465857</v>
      </c>
    </row>
    <row r="297" spans="2:11" x14ac:dyDescent="0.2">
      <c r="B297" s="4">
        <f>IF(LoanIsGood,IF(ROW()-ROW(PaymentSchedule[[#Headers],[PMT NO]])&gt;ScheduledNumberOfPayments,"",ROW()-ROW(PaymentSchedule[[#Headers],[PMT NO]])),"")</f>
        <v>271</v>
      </c>
      <c r="C297" s="5">
        <f>IF(PaymentSchedule[[#This Row],[PMT NO]]&lt;&gt;"",EOMONTH(LoanStartDate,ROW(PaymentSchedule[[#This Row],[PMT NO]])-ROW(PaymentSchedule[[#Headers],[PMT NO]])-2)+DAY(LoanStartDate),"")</f>
        <v>54271</v>
      </c>
      <c r="D297" s="6">
        <f>IF(PaymentSchedule[[#This Row],[PMT NO]]&lt;&gt;"",IF(ROW()-ROW(PaymentSchedule[[#Headers],[BEGINNING BALANCE]])=1,LoanAmount,INDEX(PaymentSchedule[ENDING BALANCE],ROW()-ROW(PaymentSchedule[[#Headers],[BEGINNING BALANCE]])-1)),"")</f>
        <v>61682.771374059179</v>
      </c>
      <c r="E297" s="6">
        <f>IF(PaymentSchedule[[#This Row],[PMT NO]]&lt;&gt;"",ScheduledPayment,"")</f>
        <v>839.37073521385321</v>
      </c>
      <c r="F297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297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297" s="6">
        <f>IF(PaymentSchedule[[#This Row],[PMT NO]]&lt;&gt;"",PaymentSchedule[[#This Row],[TOTAL PAYMENT]]-PaymentSchedule[[#This Row],[INTEREST]],"")</f>
        <v>530.95687834355726</v>
      </c>
      <c r="I297" s="6">
        <f>IF(PaymentSchedule[[#This Row],[PMT NO]]&lt;&gt;"",PaymentSchedule[[#This Row],[BEGINNING BALANCE]]*(InterestRate/PaymentsPerYear),"")</f>
        <v>308.41385687029589</v>
      </c>
      <c r="J297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61151.814495715618</v>
      </c>
      <c r="K297" s="6">
        <f>IF(PaymentSchedule[[#This Row],[PMT NO]]&lt;&gt;"",SUM(INDEX(PaymentSchedule[INTEREST],1,1):PaymentSchedule[[#This Row],[INTEREST]]),"")</f>
        <v>147781.91300345599</v>
      </c>
    </row>
    <row r="298" spans="2:11" x14ac:dyDescent="0.2">
      <c r="B298" s="4">
        <f>IF(LoanIsGood,IF(ROW()-ROW(PaymentSchedule[[#Headers],[PMT NO]])&gt;ScheduledNumberOfPayments,"",ROW()-ROW(PaymentSchedule[[#Headers],[PMT NO]])),"")</f>
        <v>272</v>
      </c>
      <c r="C298" s="5">
        <f>IF(PaymentSchedule[[#This Row],[PMT NO]]&lt;&gt;"",EOMONTH(LoanStartDate,ROW(PaymentSchedule[[#This Row],[PMT NO]])-ROW(PaymentSchedule[[#Headers],[PMT NO]])-2)+DAY(LoanStartDate),"")</f>
        <v>54302</v>
      </c>
      <c r="D298" s="6">
        <f>IF(PaymentSchedule[[#This Row],[PMT NO]]&lt;&gt;"",IF(ROW()-ROW(PaymentSchedule[[#Headers],[BEGINNING BALANCE]])=1,LoanAmount,INDEX(PaymentSchedule[ENDING BALANCE],ROW()-ROW(PaymentSchedule[[#Headers],[BEGINNING BALANCE]])-1)),"")</f>
        <v>61151.814495715618</v>
      </c>
      <c r="E298" s="6">
        <f>IF(PaymentSchedule[[#This Row],[PMT NO]]&lt;&gt;"",ScheduledPayment,"")</f>
        <v>839.37073521385321</v>
      </c>
      <c r="F298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298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298" s="6">
        <f>IF(PaymentSchedule[[#This Row],[PMT NO]]&lt;&gt;"",PaymentSchedule[[#This Row],[TOTAL PAYMENT]]-PaymentSchedule[[#This Row],[INTEREST]],"")</f>
        <v>533.6116627352751</v>
      </c>
      <c r="I298" s="6">
        <f>IF(PaymentSchedule[[#This Row],[PMT NO]]&lt;&gt;"",PaymentSchedule[[#This Row],[BEGINNING BALANCE]]*(InterestRate/PaymentsPerYear),"")</f>
        <v>305.7590724785781</v>
      </c>
      <c r="J298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60618.202832980343</v>
      </c>
      <c r="K298" s="6">
        <f>IF(PaymentSchedule[[#This Row],[PMT NO]]&lt;&gt;"",SUM(INDEX(PaymentSchedule[INTEREST],1,1):PaymentSchedule[[#This Row],[INTEREST]]),"")</f>
        <v>148087.67207593456</v>
      </c>
    </row>
    <row r="299" spans="2:11" x14ac:dyDescent="0.2">
      <c r="B299" s="4">
        <f>IF(LoanIsGood,IF(ROW()-ROW(PaymentSchedule[[#Headers],[PMT NO]])&gt;ScheduledNumberOfPayments,"",ROW()-ROW(PaymentSchedule[[#Headers],[PMT NO]])),"")</f>
        <v>273</v>
      </c>
      <c r="C299" s="5">
        <f>IF(PaymentSchedule[[#This Row],[PMT NO]]&lt;&gt;"",EOMONTH(LoanStartDate,ROW(PaymentSchedule[[#This Row],[PMT NO]])-ROW(PaymentSchedule[[#Headers],[PMT NO]])-2)+DAY(LoanStartDate),"")</f>
        <v>54332</v>
      </c>
      <c r="D299" s="6">
        <f>IF(PaymentSchedule[[#This Row],[PMT NO]]&lt;&gt;"",IF(ROW()-ROW(PaymentSchedule[[#Headers],[BEGINNING BALANCE]])=1,LoanAmount,INDEX(PaymentSchedule[ENDING BALANCE],ROW()-ROW(PaymentSchedule[[#Headers],[BEGINNING BALANCE]])-1)),"")</f>
        <v>60618.202832980343</v>
      </c>
      <c r="E299" s="6">
        <f>IF(PaymentSchedule[[#This Row],[PMT NO]]&lt;&gt;"",ScheduledPayment,"")</f>
        <v>839.37073521385321</v>
      </c>
      <c r="F299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299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299" s="6">
        <f>IF(PaymentSchedule[[#This Row],[PMT NO]]&lt;&gt;"",PaymentSchedule[[#This Row],[TOTAL PAYMENT]]-PaymentSchedule[[#This Row],[INTEREST]],"")</f>
        <v>536.2797210489515</v>
      </c>
      <c r="I299" s="6">
        <f>IF(PaymentSchedule[[#This Row],[PMT NO]]&lt;&gt;"",PaymentSchedule[[#This Row],[BEGINNING BALANCE]]*(InterestRate/PaymentsPerYear),"")</f>
        <v>303.09101416490171</v>
      </c>
      <c r="J299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60081.923111931392</v>
      </c>
      <c r="K299" s="6">
        <f>IF(PaymentSchedule[[#This Row],[PMT NO]]&lt;&gt;"",SUM(INDEX(PaymentSchedule[INTEREST],1,1):PaymentSchedule[[#This Row],[INTEREST]]),"")</f>
        <v>148390.76309009947</v>
      </c>
    </row>
    <row r="300" spans="2:11" x14ac:dyDescent="0.2">
      <c r="B300" s="4">
        <f>IF(LoanIsGood,IF(ROW()-ROW(PaymentSchedule[[#Headers],[PMT NO]])&gt;ScheduledNumberOfPayments,"",ROW()-ROW(PaymentSchedule[[#Headers],[PMT NO]])),"")</f>
        <v>274</v>
      </c>
      <c r="C300" s="5">
        <f>IF(PaymentSchedule[[#This Row],[PMT NO]]&lt;&gt;"",EOMONTH(LoanStartDate,ROW(PaymentSchedule[[#This Row],[PMT NO]])-ROW(PaymentSchedule[[#Headers],[PMT NO]])-2)+DAY(LoanStartDate),"")</f>
        <v>54363</v>
      </c>
      <c r="D300" s="6">
        <f>IF(PaymentSchedule[[#This Row],[PMT NO]]&lt;&gt;"",IF(ROW()-ROW(PaymentSchedule[[#Headers],[BEGINNING BALANCE]])=1,LoanAmount,INDEX(PaymentSchedule[ENDING BALANCE],ROW()-ROW(PaymentSchedule[[#Headers],[BEGINNING BALANCE]])-1)),"")</f>
        <v>60081.923111931392</v>
      </c>
      <c r="E300" s="6">
        <f>IF(PaymentSchedule[[#This Row],[PMT NO]]&lt;&gt;"",ScheduledPayment,"")</f>
        <v>839.37073521385321</v>
      </c>
      <c r="F300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300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300" s="6">
        <f>IF(PaymentSchedule[[#This Row],[PMT NO]]&lt;&gt;"",PaymentSchedule[[#This Row],[TOTAL PAYMENT]]-PaymentSchedule[[#This Row],[INTEREST]],"")</f>
        <v>538.96111965419618</v>
      </c>
      <c r="I300" s="6">
        <f>IF(PaymentSchedule[[#This Row],[PMT NO]]&lt;&gt;"",PaymentSchedule[[#This Row],[BEGINNING BALANCE]]*(InterestRate/PaymentsPerYear),"")</f>
        <v>300.40961555965697</v>
      </c>
      <c r="J300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59542.961992277196</v>
      </c>
      <c r="K300" s="6">
        <f>IF(PaymentSchedule[[#This Row],[PMT NO]]&lt;&gt;"",SUM(INDEX(PaymentSchedule[INTEREST],1,1):PaymentSchedule[[#This Row],[INTEREST]]),"")</f>
        <v>148691.17270565912</v>
      </c>
    </row>
    <row r="301" spans="2:11" x14ac:dyDescent="0.2">
      <c r="B301" s="4">
        <f>IF(LoanIsGood,IF(ROW()-ROW(PaymentSchedule[[#Headers],[PMT NO]])&gt;ScheduledNumberOfPayments,"",ROW()-ROW(PaymentSchedule[[#Headers],[PMT NO]])),"")</f>
        <v>275</v>
      </c>
      <c r="C301" s="5">
        <f>IF(PaymentSchedule[[#This Row],[PMT NO]]&lt;&gt;"",EOMONTH(LoanStartDate,ROW(PaymentSchedule[[#This Row],[PMT NO]])-ROW(PaymentSchedule[[#Headers],[PMT NO]])-2)+DAY(LoanStartDate),"")</f>
        <v>54393</v>
      </c>
      <c r="D301" s="6">
        <f>IF(PaymentSchedule[[#This Row],[PMT NO]]&lt;&gt;"",IF(ROW()-ROW(PaymentSchedule[[#Headers],[BEGINNING BALANCE]])=1,LoanAmount,INDEX(PaymentSchedule[ENDING BALANCE],ROW()-ROW(PaymentSchedule[[#Headers],[BEGINNING BALANCE]])-1)),"")</f>
        <v>59542.961992277196</v>
      </c>
      <c r="E301" s="6">
        <f>IF(PaymentSchedule[[#This Row],[PMT NO]]&lt;&gt;"",ScheduledPayment,"")</f>
        <v>839.37073521385321</v>
      </c>
      <c r="F301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301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301" s="6">
        <f>IF(PaymentSchedule[[#This Row],[PMT NO]]&lt;&gt;"",PaymentSchedule[[#This Row],[TOTAL PAYMENT]]-PaymentSchedule[[#This Row],[INTEREST]],"")</f>
        <v>541.65592525246723</v>
      </c>
      <c r="I301" s="6">
        <f>IF(PaymentSchedule[[#This Row],[PMT NO]]&lt;&gt;"",PaymentSchedule[[#This Row],[BEGINNING BALANCE]]*(InterestRate/PaymentsPerYear),"")</f>
        <v>297.71480996138598</v>
      </c>
      <c r="J301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59001.306067024729</v>
      </c>
      <c r="K301" s="6">
        <f>IF(PaymentSchedule[[#This Row],[PMT NO]]&lt;&gt;"",SUM(INDEX(PaymentSchedule[INTEREST],1,1):PaymentSchedule[[#This Row],[INTEREST]]),"")</f>
        <v>148988.8875156205</v>
      </c>
    </row>
    <row r="302" spans="2:11" x14ac:dyDescent="0.2">
      <c r="B302" s="4">
        <f>IF(LoanIsGood,IF(ROW()-ROW(PaymentSchedule[[#Headers],[PMT NO]])&gt;ScheduledNumberOfPayments,"",ROW()-ROW(PaymentSchedule[[#Headers],[PMT NO]])),"")</f>
        <v>276</v>
      </c>
      <c r="C302" s="5">
        <f>IF(PaymentSchedule[[#This Row],[PMT NO]]&lt;&gt;"",EOMONTH(LoanStartDate,ROW(PaymentSchedule[[#This Row],[PMT NO]])-ROW(PaymentSchedule[[#Headers],[PMT NO]])-2)+DAY(LoanStartDate),"")</f>
        <v>54424</v>
      </c>
      <c r="D302" s="6">
        <f>IF(PaymentSchedule[[#This Row],[PMT NO]]&lt;&gt;"",IF(ROW()-ROW(PaymentSchedule[[#Headers],[BEGINNING BALANCE]])=1,LoanAmount,INDEX(PaymentSchedule[ENDING BALANCE],ROW()-ROW(PaymentSchedule[[#Headers],[BEGINNING BALANCE]])-1)),"")</f>
        <v>59001.306067024729</v>
      </c>
      <c r="E302" s="6">
        <f>IF(PaymentSchedule[[#This Row],[PMT NO]]&lt;&gt;"",ScheduledPayment,"")</f>
        <v>839.37073521385321</v>
      </c>
      <c r="F302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302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302" s="6">
        <f>IF(PaymentSchedule[[#This Row],[PMT NO]]&lt;&gt;"",PaymentSchedule[[#This Row],[TOTAL PAYMENT]]-PaymentSchedule[[#This Row],[INTEREST]],"")</f>
        <v>544.36420487872954</v>
      </c>
      <c r="I302" s="6">
        <f>IF(PaymentSchedule[[#This Row],[PMT NO]]&lt;&gt;"",PaymentSchedule[[#This Row],[BEGINNING BALANCE]]*(InterestRate/PaymentsPerYear),"")</f>
        <v>295.00653033512367</v>
      </c>
      <c r="J302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58456.941862145999</v>
      </c>
      <c r="K302" s="6">
        <f>IF(PaymentSchedule[[#This Row],[PMT NO]]&lt;&gt;"",SUM(INDEX(PaymentSchedule[INTEREST],1,1):PaymentSchedule[[#This Row],[INTEREST]]),"")</f>
        <v>149283.89404595562</v>
      </c>
    </row>
    <row r="303" spans="2:11" x14ac:dyDescent="0.2">
      <c r="B303" s="4">
        <f>IF(LoanIsGood,IF(ROW()-ROW(PaymentSchedule[[#Headers],[PMT NO]])&gt;ScheduledNumberOfPayments,"",ROW()-ROW(PaymentSchedule[[#Headers],[PMT NO]])),"")</f>
        <v>277</v>
      </c>
      <c r="C303" s="5">
        <f>IF(PaymentSchedule[[#This Row],[PMT NO]]&lt;&gt;"",EOMONTH(LoanStartDate,ROW(PaymentSchedule[[#This Row],[PMT NO]])-ROW(PaymentSchedule[[#Headers],[PMT NO]])-2)+DAY(LoanStartDate),"")</f>
        <v>54455</v>
      </c>
      <c r="D303" s="6">
        <f>IF(PaymentSchedule[[#This Row],[PMT NO]]&lt;&gt;"",IF(ROW()-ROW(PaymentSchedule[[#Headers],[BEGINNING BALANCE]])=1,LoanAmount,INDEX(PaymentSchedule[ENDING BALANCE],ROW()-ROW(PaymentSchedule[[#Headers],[BEGINNING BALANCE]])-1)),"")</f>
        <v>58456.941862145999</v>
      </c>
      <c r="E303" s="6">
        <f>IF(PaymentSchedule[[#This Row],[PMT NO]]&lt;&gt;"",ScheduledPayment,"")</f>
        <v>839.37073521385321</v>
      </c>
      <c r="F303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303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303" s="6">
        <f>IF(PaymentSchedule[[#This Row],[PMT NO]]&lt;&gt;"",PaymentSchedule[[#This Row],[TOTAL PAYMENT]]-PaymentSchedule[[#This Row],[INTEREST]],"")</f>
        <v>547.08602590312319</v>
      </c>
      <c r="I303" s="6">
        <f>IF(PaymentSchedule[[#This Row],[PMT NO]]&lt;&gt;"",PaymentSchedule[[#This Row],[BEGINNING BALANCE]]*(InterestRate/PaymentsPerYear),"")</f>
        <v>292.28470931073002</v>
      </c>
      <c r="J303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57909.855836242874</v>
      </c>
      <c r="K303" s="6">
        <f>IF(PaymentSchedule[[#This Row],[PMT NO]]&lt;&gt;"",SUM(INDEX(PaymentSchedule[INTEREST],1,1):PaymentSchedule[[#This Row],[INTEREST]]),"")</f>
        <v>149576.17875526636</v>
      </c>
    </row>
    <row r="304" spans="2:11" x14ac:dyDescent="0.2">
      <c r="B304" s="4">
        <f>IF(LoanIsGood,IF(ROW()-ROW(PaymentSchedule[[#Headers],[PMT NO]])&gt;ScheduledNumberOfPayments,"",ROW()-ROW(PaymentSchedule[[#Headers],[PMT NO]])),"")</f>
        <v>278</v>
      </c>
      <c r="C304" s="5">
        <f>IF(PaymentSchedule[[#This Row],[PMT NO]]&lt;&gt;"",EOMONTH(LoanStartDate,ROW(PaymentSchedule[[#This Row],[PMT NO]])-ROW(PaymentSchedule[[#Headers],[PMT NO]])-2)+DAY(LoanStartDate),"")</f>
        <v>54483</v>
      </c>
      <c r="D304" s="6">
        <f>IF(PaymentSchedule[[#This Row],[PMT NO]]&lt;&gt;"",IF(ROW()-ROW(PaymentSchedule[[#Headers],[BEGINNING BALANCE]])=1,LoanAmount,INDEX(PaymentSchedule[ENDING BALANCE],ROW()-ROW(PaymentSchedule[[#Headers],[BEGINNING BALANCE]])-1)),"")</f>
        <v>57909.855836242874</v>
      </c>
      <c r="E304" s="6">
        <f>IF(PaymentSchedule[[#This Row],[PMT NO]]&lt;&gt;"",ScheduledPayment,"")</f>
        <v>839.37073521385321</v>
      </c>
      <c r="F304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304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304" s="6">
        <f>IF(PaymentSchedule[[#This Row],[PMT NO]]&lt;&gt;"",PaymentSchedule[[#This Row],[TOTAL PAYMENT]]-PaymentSchedule[[#This Row],[INTEREST]],"")</f>
        <v>549.82145603263882</v>
      </c>
      <c r="I304" s="6">
        <f>IF(PaymentSchedule[[#This Row],[PMT NO]]&lt;&gt;"",PaymentSchedule[[#This Row],[BEGINNING BALANCE]]*(InterestRate/PaymentsPerYear),"")</f>
        <v>289.54927918121439</v>
      </c>
      <c r="J304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57360.034380210236</v>
      </c>
      <c r="K304" s="6">
        <f>IF(PaymentSchedule[[#This Row],[PMT NO]]&lt;&gt;"",SUM(INDEX(PaymentSchedule[INTEREST],1,1):PaymentSchedule[[#This Row],[INTEREST]]),"")</f>
        <v>149865.72803444759</v>
      </c>
    </row>
    <row r="305" spans="2:11" x14ac:dyDescent="0.2">
      <c r="B305" s="4">
        <f>IF(LoanIsGood,IF(ROW()-ROW(PaymentSchedule[[#Headers],[PMT NO]])&gt;ScheduledNumberOfPayments,"",ROW()-ROW(PaymentSchedule[[#Headers],[PMT NO]])),"")</f>
        <v>279</v>
      </c>
      <c r="C305" s="5">
        <f>IF(PaymentSchedule[[#This Row],[PMT NO]]&lt;&gt;"",EOMONTH(LoanStartDate,ROW(PaymentSchedule[[#This Row],[PMT NO]])-ROW(PaymentSchedule[[#Headers],[PMT NO]])-2)+DAY(LoanStartDate),"")</f>
        <v>54514</v>
      </c>
      <c r="D305" s="6">
        <f>IF(PaymentSchedule[[#This Row],[PMT NO]]&lt;&gt;"",IF(ROW()-ROW(PaymentSchedule[[#Headers],[BEGINNING BALANCE]])=1,LoanAmount,INDEX(PaymentSchedule[ENDING BALANCE],ROW()-ROW(PaymentSchedule[[#Headers],[BEGINNING BALANCE]])-1)),"")</f>
        <v>57360.034380210236</v>
      </c>
      <c r="E305" s="6">
        <f>IF(PaymentSchedule[[#This Row],[PMT NO]]&lt;&gt;"",ScheduledPayment,"")</f>
        <v>839.37073521385321</v>
      </c>
      <c r="F305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305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305" s="6">
        <f>IF(PaymentSchedule[[#This Row],[PMT NO]]&lt;&gt;"",PaymentSchedule[[#This Row],[TOTAL PAYMENT]]-PaymentSchedule[[#This Row],[INTEREST]],"")</f>
        <v>552.57056331280205</v>
      </c>
      <c r="I305" s="6">
        <f>IF(PaymentSchedule[[#This Row],[PMT NO]]&lt;&gt;"",PaymentSchedule[[#This Row],[BEGINNING BALANCE]]*(InterestRate/PaymentsPerYear),"")</f>
        <v>286.80017190105121</v>
      </c>
      <c r="J305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56807.463816897434</v>
      </c>
      <c r="K305" s="6">
        <f>IF(PaymentSchedule[[#This Row],[PMT NO]]&lt;&gt;"",SUM(INDEX(PaymentSchedule[INTEREST],1,1):PaymentSchedule[[#This Row],[INTEREST]]),"")</f>
        <v>150152.52820634865</v>
      </c>
    </row>
    <row r="306" spans="2:11" x14ac:dyDescent="0.2">
      <c r="B306" s="4">
        <f>IF(LoanIsGood,IF(ROW()-ROW(PaymentSchedule[[#Headers],[PMT NO]])&gt;ScheduledNumberOfPayments,"",ROW()-ROW(PaymentSchedule[[#Headers],[PMT NO]])),"")</f>
        <v>280</v>
      </c>
      <c r="C306" s="5">
        <f>IF(PaymentSchedule[[#This Row],[PMT NO]]&lt;&gt;"",EOMONTH(LoanStartDate,ROW(PaymentSchedule[[#This Row],[PMT NO]])-ROW(PaymentSchedule[[#Headers],[PMT NO]])-2)+DAY(LoanStartDate),"")</f>
        <v>54544</v>
      </c>
      <c r="D306" s="6">
        <f>IF(PaymentSchedule[[#This Row],[PMT NO]]&lt;&gt;"",IF(ROW()-ROW(PaymentSchedule[[#Headers],[BEGINNING BALANCE]])=1,LoanAmount,INDEX(PaymentSchedule[ENDING BALANCE],ROW()-ROW(PaymentSchedule[[#Headers],[BEGINNING BALANCE]])-1)),"")</f>
        <v>56807.463816897434</v>
      </c>
      <c r="E306" s="6">
        <f>IF(PaymentSchedule[[#This Row],[PMT NO]]&lt;&gt;"",ScheduledPayment,"")</f>
        <v>839.37073521385321</v>
      </c>
      <c r="F306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306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306" s="6">
        <f>IF(PaymentSchedule[[#This Row],[PMT NO]]&lt;&gt;"",PaymentSchedule[[#This Row],[TOTAL PAYMENT]]-PaymentSchedule[[#This Row],[INTEREST]],"")</f>
        <v>555.33341612936601</v>
      </c>
      <c r="I306" s="6">
        <f>IF(PaymentSchedule[[#This Row],[PMT NO]]&lt;&gt;"",PaymentSchedule[[#This Row],[BEGINNING BALANCE]]*(InterestRate/PaymentsPerYear),"")</f>
        <v>284.03731908448719</v>
      </c>
      <c r="J306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56252.130400768066</v>
      </c>
      <c r="K306" s="6">
        <f>IF(PaymentSchedule[[#This Row],[PMT NO]]&lt;&gt;"",SUM(INDEX(PaymentSchedule[INTEREST],1,1):PaymentSchedule[[#This Row],[INTEREST]]),"")</f>
        <v>150436.56552543314</v>
      </c>
    </row>
    <row r="307" spans="2:11" x14ac:dyDescent="0.2">
      <c r="B307" s="4">
        <f>IF(LoanIsGood,IF(ROW()-ROW(PaymentSchedule[[#Headers],[PMT NO]])&gt;ScheduledNumberOfPayments,"",ROW()-ROW(PaymentSchedule[[#Headers],[PMT NO]])),"")</f>
        <v>281</v>
      </c>
      <c r="C307" s="5">
        <f>IF(PaymentSchedule[[#This Row],[PMT NO]]&lt;&gt;"",EOMONTH(LoanStartDate,ROW(PaymentSchedule[[#This Row],[PMT NO]])-ROW(PaymentSchedule[[#Headers],[PMT NO]])-2)+DAY(LoanStartDate),"")</f>
        <v>54575</v>
      </c>
      <c r="D307" s="6">
        <f>IF(PaymentSchedule[[#This Row],[PMT NO]]&lt;&gt;"",IF(ROW()-ROW(PaymentSchedule[[#Headers],[BEGINNING BALANCE]])=1,LoanAmount,INDEX(PaymentSchedule[ENDING BALANCE],ROW()-ROW(PaymentSchedule[[#Headers],[BEGINNING BALANCE]])-1)),"")</f>
        <v>56252.130400768066</v>
      </c>
      <c r="E307" s="6">
        <f>IF(PaymentSchedule[[#This Row],[PMT NO]]&lt;&gt;"",ScheduledPayment,"")</f>
        <v>839.37073521385321</v>
      </c>
      <c r="F307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307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307" s="6">
        <f>IF(PaymentSchedule[[#This Row],[PMT NO]]&lt;&gt;"",PaymentSchedule[[#This Row],[TOTAL PAYMENT]]-PaymentSchedule[[#This Row],[INTEREST]],"")</f>
        <v>558.11008321001282</v>
      </c>
      <c r="I307" s="6">
        <f>IF(PaymentSchedule[[#This Row],[PMT NO]]&lt;&gt;"",PaymentSchedule[[#This Row],[BEGINNING BALANCE]]*(InterestRate/PaymentsPerYear),"")</f>
        <v>281.26065200384033</v>
      </c>
      <c r="J307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55694.020317558054</v>
      </c>
      <c r="K307" s="6">
        <f>IF(PaymentSchedule[[#This Row],[PMT NO]]&lt;&gt;"",SUM(INDEX(PaymentSchedule[INTEREST],1,1):PaymentSchedule[[#This Row],[INTEREST]]),"")</f>
        <v>150717.82617743697</v>
      </c>
    </row>
    <row r="308" spans="2:11" x14ac:dyDescent="0.2">
      <c r="B308" s="4">
        <f>IF(LoanIsGood,IF(ROW()-ROW(PaymentSchedule[[#Headers],[PMT NO]])&gt;ScheduledNumberOfPayments,"",ROW()-ROW(PaymentSchedule[[#Headers],[PMT NO]])),"")</f>
        <v>282</v>
      </c>
      <c r="C308" s="5">
        <f>IF(PaymentSchedule[[#This Row],[PMT NO]]&lt;&gt;"",EOMONTH(LoanStartDate,ROW(PaymentSchedule[[#This Row],[PMT NO]])-ROW(PaymentSchedule[[#Headers],[PMT NO]])-2)+DAY(LoanStartDate),"")</f>
        <v>54605</v>
      </c>
      <c r="D308" s="6">
        <f>IF(PaymentSchedule[[#This Row],[PMT NO]]&lt;&gt;"",IF(ROW()-ROW(PaymentSchedule[[#Headers],[BEGINNING BALANCE]])=1,LoanAmount,INDEX(PaymentSchedule[ENDING BALANCE],ROW()-ROW(PaymentSchedule[[#Headers],[BEGINNING BALANCE]])-1)),"")</f>
        <v>55694.020317558054</v>
      </c>
      <c r="E308" s="6">
        <f>IF(PaymentSchedule[[#This Row],[PMT NO]]&lt;&gt;"",ScheduledPayment,"")</f>
        <v>839.37073521385321</v>
      </c>
      <c r="F308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308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308" s="6">
        <f>IF(PaymentSchedule[[#This Row],[PMT NO]]&lt;&gt;"",PaymentSchedule[[#This Row],[TOTAL PAYMENT]]-PaymentSchedule[[#This Row],[INTEREST]],"")</f>
        <v>560.90063362606293</v>
      </c>
      <c r="I308" s="6">
        <f>IF(PaymentSchedule[[#This Row],[PMT NO]]&lt;&gt;"",PaymentSchedule[[#This Row],[BEGINNING BALANCE]]*(InterestRate/PaymentsPerYear),"")</f>
        <v>278.47010158779028</v>
      </c>
      <c r="J308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55133.119683931989</v>
      </c>
      <c r="K308" s="6">
        <f>IF(PaymentSchedule[[#This Row],[PMT NO]]&lt;&gt;"",SUM(INDEX(PaymentSchedule[INTEREST],1,1):PaymentSchedule[[#This Row],[INTEREST]]),"")</f>
        <v>150996.29627902477</v>
      </c>
    </row>
    <row r="309" spans="2:11" x14ac:dyDescent="0.2">
      <c r="B309" s="4">
        <f>IF(LoanIsGood,IF(ROW()-ROW(PaymentSchedule[[#Headers],[PMT NO]])&gt;ScheduledNumberOfPayments,"",ROW()-ROW(PaymentSchedule[[#Headers],[PMT NO]])),"")</f>
        <v>283</v>
      </c>
      <c r="C309" s="5">
        <f>IF(PaymentSchedule[[#This Row],[PMT NO]]&lt;&gt;"",EOMONTH(LoanStartDate,ROW(PaymentSchedule[[#This Row],[PMT NO]])-ROW(PaymentSchedule[[#Headers],[PMT NO]])-2)+DAY(LoanStartDate),"")</f>
        <v>54636</v>
      </c>
      <c r="D309" s="6">
        <f>IF(PaymentSchedule[[#This Row],[PMT NO]]&lt;&gt;"",IF(ROW()-ROW(PaymentSchedule[[#Headers],[BEGINNING BALANCE]])=1,LoanAmount,INDEX(PaymentSchedule[ENDING BALANCE],ROW()-ROW(PaymentSchedule[[#Headers],[BEGINNING BALANCE]])-1)),"")</f>
        <v>55133.119683931989</v>
      </c>
      <c r="E309" s="6">
        <f>IF(PaymentSchedule[[#This Row],[PMT NO]]&lt;&gt;"",ScheduledPayment,"")</f>
        <v>839.37073521385321</v>
      </c>
      <c r="F309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309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309" s="6">
        <f>IF(PaymentSchedule[[#This Row],[PMT NO]]&lt;&gt;"",PaymentSchedule[[#This Row],[TOTAL PAYMENT]]-PaymentSchedule[[#This Row],[INTEREST]],"")</f>
        <v>563.70513679419332</v>
      </c>
      <c r="I309" s="6">
        <f>IF(PaymentSchedule[[#This Row],[PMT NO]]&lt;&gt;"",PaymentSchedule[[#This Row],[BEGINNING BALANCE]]*(InterestRate/PaymentsPerYear),"")</f>
        <v>275.66559841965994</v>
      </c>
      <c r="J309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54569.414547137792</v>
      </c>
      <c r="K309" s="6">
        <f>IF(PaymentSchedule[[#This Row],[PMT NO]]&lt;&gt;"",SUM(INDEX(PaymentSchedule[INTEREST],1,1):PaymentSchedule[[#This Row],[INTEREST]]),"")</f>
        <v>151271.96187744444</v>
      </c>
    </row>
    <row r="310" spans="2:11" x14ac:dyDescent="0.2">
      <c r="B310" s="4">
        <f>IF(LoanIsGood,IF(ROW()-ROW(PaymentSchedule[[#Headers],[PMT NO]])&gt;ScheduledNumberOfPayments,"",ROW()-ROW(PaymentSchedule[[#Headers],[PMT NO]])),"")</f>
        <v>284</v>
      </c>
      <c r="C310" s="5">
        <f>IF(PaymentSchedule[[#This Row],[PMT NO]]&lt;&gt;"",EOMONTH(LoanStartDate,ROW(PaymentSchedule[[#This Row],[PMT NO]])-ROW(PaymentSchedule[[#Headers],[PMT NO]])-2)+DAY(LoanStartDate),"")</f>
        <v>54667</v>
      </c>
      <c r="D310" s="6">
        <f>IF(PaymentSchedule[[#This Row],[PMT NO]]&lt;&gt;"",IF(ROW()-ROW(PaymentSchedule[[#Headers],[BEGINNING BALANCE]])=1,LoanAmount,INDEX(PaymentSchedule[ENDING BALANCE],ROW()-ROW(PaymentSchedule[[#Headers],[BEGINNING BALANCE]])-1)),"")</f>
        <v>54569.414547137792</v>
      </c>
      <c r="E310" s="6">
        <f>IF(PaymentSchedule[[#This Row],[PMT NO]]&lt;&gt;"",ScheduledPayment,"")</f>
        <v>839.37073521385321</v>
      </c>
      <c r="F310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310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310" s="6">
        <f>IF(PaymentSchedule[[#This Row],[PMT NO]]&lt;&gt;"",PaymentSchedule[[#This Row],[TOTAL PAYMENT]]-PaymentSchedule[[#This Row],[INTEREST]],"")</f>
        <v>566.52366247816417</v>
      </c>
      <c r="I310" s="6">
        <f>IF(PaymentSchedule[[#This Row],[PMT NO]]&lt;&gt;"",PaymentSchedule[[#This Row],[BEGINNING BALANCE]]*(InterestRate/PaymentsPerYear),"")</f>
        <v>272.84707273568898</v>
      </c>
      <c r="J310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54002.890884659631</v>
      </c>
      <c r="K310" s="6">
        <f>IF(PaymentSchedule[[#This Row],[PMT NO]]&lt;&gt;"",SUM(INDEX(PaymentSchedule[INTEREST],1,1):PaymentSchedule[[#This Row],[INTEREST]]),"")</f>
        <v>151544.80895018013</v>
      </c>
    </row>
    <row r="311" spans="2:11" x14ac:dyDescent="0.2">
      <c r="B311" s="4">
        <f>IF(LoanIsGood,IF(ROW()-ROW(PaymentSchedule[[#Headers],[PMT NO]])&gt;ScheduledNumberOfPayments,"",ROW()-ROW(PaymentSchedule[[#Headers],[PMT NO]])),"")</f>
        <v>285</v>
      </c>
      <c r="C311" s="5">
        <f>IF(PaymentSchedule[[#This Row],[PMT NO]]&lt;&gt;"",EOMONTH(LoanStartDate,ROW(PaymentSchedule[[#This Row],[PMT NO]])-ROW(PaymentSchedule[[#Headers],[PMT NO]])-2)+DAY(LoanStartDate),"")</f>
        <v>54697</v>
      </c>
      <c r="D311" s="6">
        <f>IF(PaymentSchedule[[#This Row],[PMT NO]]&lt;&gt;"",IF(ROW()-ROW(PaymentSchedule[[#Headers],[BEGINNING BALANCE]])=1,LoanAmount,INDEX(PaymentSchedule[ENDING BALANCE],ROW()-ROW(PaymentSchedule[[#Headers],[BEGINNING BALANCE]])-1)),"")</f>
        <v>54002.890884659631</v>
      </c>
      <c r="E311" s="6">
        <f>IF(PaymentSchedule[[#This Row],[PMT NO]]&lt;&gt;"",ScheduledPayment,"")</f>
        <v>839.37073521385321</v>
      </c>
      <c r="F311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311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311" s="6">
        <f>IF(PaymentSchedule[[#This Row],[PMT NO]]&lt;&gt;"",PaymentSchedule[[#This Row],[TOTAL PAYMENT]]-PaymentSchedule[[#This Row],[INTEREST]],"")</f>
        <v>569.35628079055505</v>
      </c>
      <c r="I311" s="6">
        <f>IF(PaymentSchedule[[#This Row],[PMT NO]]&lt;&gt;"",PaymentSchedule[[#This Row],[BEGINNING BALANCE]]*(InterestRate/PaymentsPerYear),"")</f>
        <v>270.01445442329816</v>
      </c>
      <c r="J311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53433.534603869077</v>
      </c>
      <c r="K311" s="6">
        <f>IF(PaymentSchedule[[#This Row],[PMT NO]]&lt;&gt;"",SUM(INDEX(PaymentSchedule[INTEREST],1,1):PaymentSchedule[[#This Row],[INTEREST]]),"")</f>
        <v>151814.82340460343</v>
      </c>
    </row>
    <row r="312" spans="2:11" x14ac:dyDescent="0.2">
      <c r="B312" s="4">
        <f>IF(LoanIsGood,IF(ROW()-ROW(PaymentSchedule[[#Headers],[PMT NO]])&gt;ScheduledNumberOfPayments,"",ROW()-ROW(PaymentSchedule[[#Headers],[PMT NO]])),"")</f>
        <v>286</v>
      </c>
      <c r="C312" s="5">
        <f>IF(PaymentSchedule[[#This Row],[PMT NO]]&lt;&gt;"",EOMONTH(LoanStartDate,ROW(PaymentSchedule[[#This Row],[PMT NO]])-ROW(PaymentSchedule[[#Headers],[PMT NO]])-2)+DAY(LoanStartDate),"")</f>
        <v>54728</v>
      </c>
      <c r="D312" s="6">
        <f>IF(PaymentSchedule[[#This Row],[PMT NO]]&lt;&gt;"",IF(ROW()-ROW(PaymentSchedule[[#Headers],[BEGINNING BALANCE]])=1,LoanAmount,INDEX(PaymentSchedule[ENDING BALANCE],ROW()-ROW(PaymentSchedule[[#Headers],[BEGINNING BALANCE]])-1)),"")</f>
        <v>53433.534603869077</v>
      </c>
      <c r="E312" s="6">
        <f>IF(PaymentSchedule[[#This Row],[PMT NO]]&lt;&gt;"",ScheduledPayment,"")</f>
        <v>839.37073521385321</v>
      </c>
      <c r="F312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312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312" s="6">
        <f>IF(PaymentSchedule[[#This Row],[PMT NO]]&lt;&gt;"",PaymentSchedule[[#This Row],[TOTAL PAYMENT]]-PaymentSchedule[[#This Row],[INTEREST]],"")</f>
        <v>572.20306219450777</v>
      </c>
      <c r="I312" s="6">
        <f>IF(PaymentSchedule[[#This Row],[PMT NO]]&lt;&gt;"",PaymentSchedule[[#This Row],[BEGINNING BALANCE]]*(InterestRate/PaymentsPerYear),"")</f>
        <v>267.16767301934539</v>
      </c>
      <c r="J312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52861.331541674568</v>
      </c>
      <c r="K312" s="6">
        <f>IF(PaymentSchedule[[#This Row],[PMT NO]]&lt;&gt;"",SUM(INDEX(PaymentSchedule[INTEREST],1,1):PaymentSchedule[[#This Row],[INTEREST]]),"")</f>
        <v>152081.99107762278</v>
      </c>
    </row>
    <row r="313" spans="2:11" x14ac:dyDescent="0.2">
      <c r="B313" s="4">
        <f>IF(LoanIsGood,IF(ROW()-ROW(PaymentSchedule[[#Headers],[PMT NO]])&gt;ScheduledNumberOfPayments,"",ROW()-ROW(PaymentSchedule[[#Headers],[PMT NO]])),"")</f>
        <v>287</v>
      </c>
      <c r="C313" s="5">
        <f>IF(PaymentSchedule[[#This Row],[PMT NO]]&lt;&gt;"",EOMONTH(LoanStartDate,ROW(PaymentSchedule[[#This Row],[PMT NO]])-ROW(PaymentSchedule[[#Headers],[PMT NO]])-2)+DAY(LoanStartDate),"")</f>
        <v>54758</v>
      </c>
      <c r="D313" s="6">
        <f>IF(PaymentSchedule[[#This Row],[PMT NO]]&lt;&gt;"",IF(ROW()-ROW(PaymentSchedule[[#Headers],[BEGINNING BALANCE]])=1,LoanAmount,INDEX(PaymentSchedule[ENDING BALANCE],ROW()-ROW(PaymentSchedule[[#Headers],[BEGINNING BALANCE]])-1)),"")</f>
        <v>52861.331541674568</v>
      </c>
      <c r="E313" s="6">
        <f>IF(PaymentSchedule[[#This Row],[PMT NO]]&lt;&gt;"",ScheduledPayment,"")</f>
        <v>839.37073521385321</v>
      </c>
      <c r="F313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313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313" s="6">
        <f>IF(PaymentSchedule[[#This Row],[PMT NO]]&lt;&gt;"",PaymentSchedule[[#This Row],[TOTAL PAYMENT]]-PaymentSchedule[[#This Row],[INTEREST]],"")</f>
        <v>575.06407750548033</v>
      </c>
      <c r="I313" s="6">
        <f>IF(PaymentSchedule[[#This Row],[PMT NO]]&lt;&gt;"",PaymentSchedule[[#This Row],[BEGINNING BALANCE]]*(InterestRate/PaymentsPerYear),"")</f>
        <v>264.30665770837282</v>
      </c>
      <c r="J313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52286.26746416909</v>
      </c>
      <c r="K313" s="6">
        <f>IF(PaymentSchedule[[#This Row],[PMT NO]]&lt;&gt;"",SUM(INDEX(PaymentSchedule[INTEREST],1,1):PaymentSchedule[[#This Row],[INTEREST]]),"")</f>
        <v>152346.29773533114</v>
      </c>
    </row>
    <row r="314" spans="2:11" x14ac:dyDescent="0.2">
      <c r="B314" s="4">
        <f>IF(LoanIsGood,IF(ROW()-ROW(PaymentSchedule[[#Headers],[PMT NO]])&gt;ScheduledNumberOfPayments,"",ROW()-ROW(PaymentSchedule[[#Headers],[PMT NO]])),"")</f>
        <v>288</v>
      </c>
      <c r="C314" s="5">
        <f>IF(PaymentSchedule[[#This Row],[PMT NO]]&lt;&gt;"",EOMONTH(LoanStartDate,ROW(PaymentSchedule[[#This Row],[PMT NO]])-ROW(PaymentSchedule[[#Headers],[PMT NO]])-2)+DAY(LoanStartDate),"")</f>
        <v>54789</v>
      </c>
      <c r="D314" s="6">
        <f>IF(PaymentSchedule[[#This Row],[PMT NO]]&lt;&gt;"",IF(ROW()-ROW(PaymentSchedule[[#Headers],[BEGINNING BALANCE]])=1,LoanAmount,INDEX(PaymentSchedule[ENDING BALANCE],ROW()-ROW(PaymentSchedule[[#Headers],[BEGINNING BALANCE]])-1)),"")</f>
        <v>52286.26746416909</v>
      </c>
      <c r="E314" s="6">
        <f>IF(PaymentSchedule[[#This Row],[PMT NO]]&lt;&gt;"",ScheduledPayment,"")</f>
        <v>839.37073521385321</v>
      </c>
      <c r="F314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314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314" s="6">
        <f>IF(PaymentSchedule[[#This Row],[PMT NO]]&lt;&gt;"",PaymentSchedule[[#This Row],[TOTAL PAYMENT]]-PaymentSchedule[[#This Row],[INTEREST]],"")</f>
        <v>577.93939789300771</v>
      </c>
      <c r="I314" s="6">
        <f>IF(PaymentSchedule[[#This Row],[PMT NO]]&lt;&gt;"",PaymentSchedule[[#This Row],[BEGINNING BALANCE]]*(InterestRate/PaymentsPerYear),"")</f>
        <v>261.43133732084544</v>
      </c>
      <c r="J314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51708.328066276081</v>
      </c>
      <c r="K314" s="6">
        <f>IF(PaymentSchedule[[#This Row],[PMT NO]]&lt;&gt;"",SUM(INDEX(PaymentSchedule[INTEREST],1,1):PaymentSchedule[[#This Row],[INTEREST]]),"")</f>
        <v>152607.729072652</v>
      </c>
    </row>
    <row r="315" spans="2:11" x14ac:dyDescent="0.2">
      <c r="B315" s="4">
        <f>IF(LoanIsGood,IF(ROW()-ROW(PaymentSchedule[[#Headers],[PMT NO]])&gt;ScheduledNumberOfPayments,"",ROW()-ROW(PaymentSchedule[[#Headers],[PMT NO]])),"")</f>
        <v>289</v>
      </c>
      <c r="C315" s="5">
        <f>IF(PaymentSchedule[[#This Row],[PMT NO]]&lt;&gt;"",EOMONTH(LoanStartDate,ROW(PaymentSchedule[[#This Row],[PMT NO]])-ROW(PaymentSchedule[[#Headers],[PMT NO]])-2)+DAY(LoanStartDate),"")</f>
        <v>54820</v>
      </c>
      <c r="D315" s="6">
        <f>IF(PaymentSchedule[[#This Row],[PMT NO]]&lt;&gt;"",IF(ROW()-ROW(PaymentSchedule[[#Headers],[BEGINNING BALANCE]])=1,LoanAmount,INDEX(PaymentSchedule[ENDING BALANCE],ROW()-ROW(PaymentSchedule[[#Headers],[BEGINNING BALANCE]])-1)),"")</f>
        <v>51708.328066276081</v>
      </c>
      <c r="E315" s="6">
        <f>IF(PaymentSchedule[[#This Row],[PMT NO]]&lt;&gt;"",ScheduledPayment,"")</f>
        <v>839.37073521385321</v>
      </c>
      <c r="F315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315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315" s="6">
        <f>IF(PaymentSchedule[[#This Row],[PMT NO]]&lt;&gt;"",PaymentSchedule[[#This Row],[TOTAL PAYMENT]]-PaymentSchedule[[#This Row],[INTEREST]],"")</f>
        <v>580.82909488247287</v>
      </c>
      <c r="I315" s="6">
        <f>IF(PaymentSchedule[[#This Row],[PMT NO]]&lt;&gt;"",PaymentSchedule[[#This Row],[BEGINNING BALANCE]]*(InterestRate/PaymentsPerYear),"")</f>
        <v>258.54164033138039</v>
      </c>
      <c r="J315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51127.498971393608</v>
      </c>
      <c r="K315" s="6">
        <f>IF(PaymentSchedule[[#This Row],[PMT NO]]&lt;&gt;"",SUM(INDEX(PaymentSchedule[INTEREST],1,1):PaymentSchedule[[#This Row],[INTEREST]]),"")</f>
        <v>152866.27071298339</v>
      </c>
    </row>
    <row r="316" spans="2:11" x14ac:dyDescent="0.2">
      <c r="B316" s="4">
        <f>IF(LoanIsGood,IF(ROW()-ROW(PaymentSchedule[[#Headers],[PMT NO]])&gt;ScheduledNumberOfPayments,"",ROW()-ROW(PaymentSchedule[[#Headers],[PMT NO]])),"")</f>
        <v>290</v>
      </c>
      <c r="C316" s="5">
        <f>IF(PaymentSchedule[[#This Row],[PMT NO]]&lt;&gt;"",EOMONTH(LoanStartDate,ROW(PaymentSchedule[[#This Row],[PMT NO]])-ROW(PaymentSchedule[[#Headers],[PMT NO]])-2)+DAY(LoanStartDate),"")</f>
        <v>54848</v>
      </c>
      <c r="D316" s="6">
        <f>IF(PaymentSchedule[[#This Row],[PMT NO]]&lt;&gt;"",IF(ROW()-ROW(PaymentSchedule[[#Headers],[BEGINNING BALANCE]])=1,LoanAmount,INDEX(PaymentSchedule[ENDING BALANCE],ROW()-ROW(PaymentSchedule[[#Headers],[BEGINNING BALANCE]])-1)),"")</f>
        <v>51127.498971393608</v>
      </c>
      <c r="E316" s="6">
        <f>IF(PaymentSchedule[[#This Row],[PMT NO]]&lt;&gt;"",ScheduledPayment,"")</f>
        <v>839.37073521385321</v>
      </c>
      <c r="F316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316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316" s="6">
        <f>IF(PaymentSchedule[[#This Row],[PMT NO]]&lt;&gt;"",PaymentSchedule[[#This Row],[TOTAL PAYMENT]]-PaymentSchedule[[#This Row],[INTEREST]],"")</f>
        <v>583.73324035688518</v>
      </c>
      <c r="I316" s="6">
        <f>IF(PaymentSchedule[[#This Row],[PMT NO]]&lt;&gt;"",PaymentSchedule[[#This Row],[BEGINNING BALANCE]]*(InterestRate/PaymentsPerYear),"")</f>
        <v>255.63749485696806</v>
      </c>
      <c r="J316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50543.765731036721</v>
      </c>
      <c r="K316" s="6">
        <f>IF(PaymentSchedule[[#This Row],[PMT NO]]&lt;&gt;"",SUM(INDEX(PaymentSchedule[INTEREST],1,1):PaymentSchedule[[#This Row],[INTEREST]]),"")</f>
        <v>153121.90820784034</v>
      </c>
    </row>
    <row r="317" spans="2:11" x14ac:dyDescent="0.2">
      <c r="B317" s="4">
        <f>IF(LoanIsGood,IF(ROW()-ROW(PaymentSchedule[[#Headers],[PMT NO]])&gt;ScheduledNumberOfPayments,"",ROW()-ROW(PaymentSchedule[[#Headers],[PMT NO]])),"")</f>
        <v>291</v>
      </c>
      <c r="C317" s="5">
        <f>IF(PaymentSchedule[[#This Row],[PMT NO]]&lt;&gt;"",EOMONTH(LoanStartDate,ROW(PaymentSchedule[[#This Row],[PMT NO]])-ROW(PaymentSchedule[[#Headers],[PMT NO]])-2)+DAY(LoanStartDate),"")</f>
        <v>54879</v>
      </c>
      <c r="D317" s="6">
        <f>IF(PaymentSchedule[[#This Row],[PMT NO]]&lt;&gt;"",IF(ROW()-ROW(PaymentSchedule[[#Headers],[BEGINNING BALANCE]])=1,LoanAmount,INDEX(PaymentSchedule[ENDING BALANCE],ROW()-ROW(PaymentSchedule[[#Headers],[BEGINNING BALANCE]])-1)),"")</f>
        <v>50543.765731036721</v>
      </c>
      <c r="E317" s="6">
        <f>IF(PaymentSchedule[[#This Row],[PMT NO]]&lt;&gt;"",ScheduledPayment,"")</f>
        <v>839.37073521385321</v>
      </c>
      <c r="F317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317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317" s="6">
        <f>IF(PaymentSchedule[[#This Row],[PMT NO]]&lt;&gt;"",PaymentSchedule[[#This Row],[TOTAL PAYMENT]]-PaymentSchedule[[#This Row],[INTEREST]],"")</f>
        <v>586.65190655866957</v>
      </c>
      <c r="I317" s="6">
        <f>IF(PaymentSchedule[[#This Row],[PMT NO]]&lt;&gt;"",PaymentSchedule[[#This Row],[BEGINNING BALANCE]]*(InterestRate/PaymentsPerYear),"")</f>
        <v>252.71882865518361</v>
      </c>
      <c r="J317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49957.113824478052</v>
      </c>
      <c r="K317" s="6">
        <f>IF(PaymentSchedule[[#This Row],[PMT NO]]&lt;&gt;"",SUM(INDEX(PaymentSchedule[INTEREST],1,1):PaymentSchedule[[#This Row],[INTEREST]]),"")</f>
        <v>153374.62703649554</v>
      </c>
    </row>
    <row r="318" spans="2:11" x14ac:dyDescent="0.2">
      <c r="B318" s="4">
        <f>IF(LoanIsGood,IF(ROW()-ROW(PaymentSchedule[[#Headers],[PMT NO]])&gt;ScheduledNumberOfPayments,"",ROW()-ROW(PaymentSchedule[[#Headers],[PMT NO]])),"")</f>
        <v>292</v>
      </c>
      <c r="C318" s="5">
        <f>IF(PaymentSchedule[[#This Row],[PMT NO]]&lt;&gt;"",EOMONTH(LoanStartDate,ROW(PaymentSchedule[[#This Row],[PMT NO]])-ROW(PaymentSchedule[[#Headers],[PMT NO]])-2)+DAY(LoanStartDate),"")</f>
        <v>54909</v>
      </c>
      <c r="D318" s="6">
        <f>IF(PaymentSchedule[[#This Row],[PMT NO]]&lt;&gt;"",IF(ROW()-ROW(PaymentSchedule[[#Headers],[BEGINNING BALANCE]])=1,LoanAmount,INDEX(PaymentSchedule[ENDING BALANCE],ROW()-ROW(PaymentSchedule[[#Headers],[BEGINNING BALANCE]])-1)),"")</f>
        <v>49957.113824478052</v>
      </c>
      <c r="E318" s="6">
        <f>IF(PaymentSchedule[[#This Row],[PMT NO]]&lt;&gt;"",ScheduledPayment,"")</f>
        <v>839.37073521385321</v>
      </c>
      <c r="F318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318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318" s="6">
        <f>IF(PaymentSchedule[[#This Row],[PMT NO]]&lt;&gt;"",PaymentSchedule[[#This Row],[TOTAL PAYMENT]]-PaymentSchedule[[#This Row],[INTEREST]],"")</f>
        <v>589.58516609146295</v>
      </c>
      <c r="I318" s="6">
        <f>IF(PaymentSchedule[[#This Row],[PMT NO]]&lt;&gt;"",PaymentSchedule[[#This Row],[BEGINNING BALANCE]]*(InterestRate/PaymentsPerYear),"")</f>
        <v>249.78556912239026</v>
      </c>
      <c r="J318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49367.528658386589</v>
      </c>
      <c r="K318" s="6">
        <f>IF(PaymentSchedule[[#This Row],[PMT NO]]&lt;&gt;"",SUM(INDEX(PaymentSchedule[INTEREST],1,1):PaymentSchedule[[#This Row],[INTEREST]]),"")</f>
        <v>153624.41260561792</v>
      </c>
    </row>
    <row r="319" spans="2:11" x14ac:dyDescent="0.2">
      <c r="B319" s="4">
        <f>IF(LoanIsGood,IF(ROW()-ROW(PaymentSchedule[[#Headers],[PMT NO]])&gt;ScheduledNumberOfPayments,"",ROW()-ROW(PaymentSchedule[[#Headers],[PMT NO]])),"")</f>
        <v>293</v>
      </c>
      <c r="C319" s="5">
        <f>IF(PaymentSchedule[[#This Row],[PMT NO]]&lt;&gt;"",EOMONTH(LoanStartDate,ROW(PaymentSchedule[[#This Row],[PMT NO]])-ROW(PaymentSchedule[[#Headers],[PMT NO]])-2)+DAY(LoanStartDate),"")</f>
        <v>54940</v>
      </c>
      <c r="D319" s="6">
        <f>IF(PaymentSchedule[[#This Row],[PMT NO]]&lt;&gt;"",IF(ROW()-ROW(PaymentSchedule[[#Headers],[BEGINNING BALANCE]])=1,LoanAmount,INDEX(PaymentSchedule[ENDING BALANCE],ROW()-ROW(PaymentSchedule[[#Headers],[BEGINNING BALANCE]])-1)),"")</f>
        <v>49367.528658386589</v>
      </c>
      <c r="E319" s="6">
        <f>IF(PaymentSchedule[[#This Row],[PMT NO]]&lt;&gt;"",ScheduledPayment,"")</f>
        <v>839.37073521385321</v>
      </c>
      <c r="F319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319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319" s="6">
        <f>IF(PaymentSchedule[[#This Row],[PMT NO]]&lt;&gt;"",PaymentSchedule[[#This Row],[TOTAL PAYMENT]]-PaymentSchedule[[#This Row],[INTEREST]],"")</f>
        <v>592.53309192192023</v>
      </c>
      <c r="I319" s="6">
        <f>IF(PaymentSchedule[[#This Row],[PMT NO]]&lt;&gt;"",PaymentSchedule[[#This Row],[BEGINNING BALANCE]]*(InterestRate/PaymentsPerYear),"")</f>
        <v>246.83764329193295</v>
      </c>
      <c r="J319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48774.99556646467</v>
      </c>
      <c r="K319" s="6">
        <f>IF(PaymentSchedule[[#This Row],[PMT NO]]&lt;&gt;"",SUM(INDEX(PaymentSchedule[INTEREST],1,1):PaymentSchedule[[#This Row],[INTEREST]]),"")</f>
        <v>153871.25024890987</v>
      </c>
    </row>
    <row r="320" spans="2:11" x14ac:dyDescent="0.2">
      <c r="B320" s="4">
        <f>IF(LoanIsGood,IF(ROW()-ROW(PaymentSchedule[[#Headers],[PMT NO]])&gt;ScheduledNumberOfPayments,"",ROW()-ROW(PaymentSchedule[[#Headers],[PMT NO]])),"")</f>
        <v>294</v>
      </c>
      <c r="C320" s="5">
        <f>IF(PaymentSchedule[[#This Row],[PMT NO]]&lt;&gt;"",EOMONTH(LoanStartDate,ROW(PaymentSchedule[[#This Row],[PMT NO]])-ROW(PaymentSchedule[[#Headers],[PMT NO]])-2)+DAY(LoanStartDate),"")</f>
        <v>54970</v>
      </c>
      <c r="D320" s="6">
        <f>IF(PaymentSchedule[[#This Row],[PMT NO]]&lt;&gt;"",IF(ROW()-ROW(PaymentSchedule[[#Headers],[BEGINNING BALANCE]])=1,LoanAmount,INDEX(PaymentSchedule[ENDING BALANCE],ROW()-ROW(PaymentSchedule[[#Headers],[BEGINNING BALANCE]])-1)),"")</f>
        <v>48774.99556646467</v>
      </c>
      <c r="E320" s="6">
        <f>IF(PaymentSchedule[[#This Row],[PMT NO]]&lt;&gt;"",ScheduledPayment,"")</f>
        <v>839.37073521385321</v>
      </c>
      <c r="F320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320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320" s="6">
        <f>IF(PaymentSchedule[[#This Row],[PMT NO]]&lt;&gt;"",PaymentSchedule[[#This Row],[TOTAL PAYMENT]]-PaymentSchedule[[#This Row],[INTEREST]],"")</f>
        <v>595.49575738152987</v>
      </c>
      <c r="I320" s="6">
        <f>IF(PaymentSchedule[[#This Row],[PMT NO]]&lt;&gt;"",PaymentSchedule[[#This Row],[BEGINNING BALANCE]]*(InterestRate/PaymentsPerYear),"")</f>
        <v>243.87497783232334</v>
      </c>
      <c r="J320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48179.499809083143</v>
      </c>
      <c r="K320" s="6">
        <f>IF(PaymentSchedule[[#This Row],[PMT NO]]&lt;&gt;"",SUM(INDEX(PaymentSchedule[INTEREST],1,1):PaymentSchedule[[#This Row],[INTEREST]]),"")</f>
        <v>154115.12522674218</v>
      </c>
    </row>
    <row r="321" spans="2:11" x14ac:dyDescent="0.2">
      <c r="B321" s="4">
        <f>IF(LoanIsGood,IF(ROW()-ROW(PaymentSchedule[[#Headers],[PMT NO]])&gt;ScheduledNumberOfPayments,"",ROW()-ROW(PaymentSchedule[[#Headers],[PMT NO]])),"")</f>
        <v>295</v>
      </c>
      <c r="C321" s="5">
        <f>IF(PaymentSchedule[[#This Row],[PMT NO]]&lt;&gt;"",EOMONTH(LoanStartDate,ROW(PaymentSchedule[[#This Row],[PMT NO]])-ROW(PaymentSchedule[[#Headers],[PMT NO]])-2)+DAY(LoanStartDate),"")</f>
        <v>55001</v>
      </c>
      <c r="D321" s="6">
        <f>IF(PaymentSchedule[[#This Row],[PMT NO]]&lt;&gt;"",IF(ROW()-ROW(PaymentSchedule[[#Headers],[BEGINNING BALANCE]])=1,LoanAmount,INDEX(PaymentSchedule[ENDING BALANCE],ROW()-ROW(PaymentSchedule[[#Headers],[BEGINNING BALANCE]])-1)),"")</f>
        <v>48179.499809083143</v>
      </c>
      <c r="E321" s="6">
        <f>IF(PaymentSchedule[[#This Row],[PMT NO]]&lt;&gt;"",ScheduledPayment,"")</f>
        <v>839.37073521385321</v>
      </c>
      <c r="F321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321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321" s="6">
        <f>IF(PaymentSchedule[[#This Row],[PMT NO]]&lt;&gt;"",PaymentSchedule[[#This Row],[TOTAL PAYMENT]]-PaymentSchedule[[#This Row],[INTEREST]],"")</f>
        <v>598.47323616843755</v>
      </c>
      <c r="I321" s="6">
        <f>IF(PaymentSchedule[[#This Row],[PMT NO]]&lt;&gt;"",PaymentSchedule[[#This Row],[BEGINNING BALANCE]]*(InterestRate/PaymentsPerYear),"")</f>
        <v>240.89749904541571</v>
      </c>
      <c r="J321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47581.026572914707</v>
      </c>
      <c r="K321" s="6">
        <f>IF(PaymentSchedule[[#This Row],[PMT NO]]&lt;&gt;"",SUM(INDEX(PaymentSchedule[INTEREST],1,1):PaymentSchedule[[#This Row],[INTEREST]]),"")</f>
        <v>154356.0227257876</v>
      </c>
    </row>
    <row r="322" spans="2:11" x14ac:dyDescent="0.2">
      <c r="B322" s="4">
        <f>IF(LoanIsGood,IF(ROW()-ROW(PaymentSchedule[[#Headers],[PMT NO]])&gt;ScheduledNumberOfPayments,"",ROW()-ROW(PaymentSchedule[[#Headers],[PMT NO]])),"")</f>
        <v>296</v>
      </c>
      <c r="C322" s="5">
        <f>IF(PaymentSchedule[[#This Row],[PMT NO]]&lt;&gt;"",EOMONTH(LoanStartDate,ROW(PaymentSchedule[[#This Row],[PMT NO]])-ROW(PaymentSchedule[[#Headers],[PMT NO]])-2)+DAY(LoanStartDate),"")</f>
        <v>55032</v>
      </c>
      <c r="D322" s="6">
        <f>IF(PaymentSchedule[[#This Row],[PMT NO]]&lt;&gt;"",IF(ROW()-ROW(PaymentSchedule[[#Headers],[BEGINNING BALANCE]])=1,LoanAmount,INDEX(PaymentSchedule[ENDING BALANCE],ROW()-ROW(PaymentSchedule[[#Headers],[BEGINNING BALANCE]])-1)),"")</f>
        <v>47581.026572914707</v>
      </c>
      <c r="E322" s="6">
        <f>IF(PaymentSchedule[[#This Row],[PMT NO]]&lt;&gt;"",ScheduledPayment,"")</f>
        <v>839.37073521385321</v>
      </c>
      <c r="F322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322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322" s="6">
        <f>IF(PaymentSchedule[[#This Row],[PMT NO]]&lt;&gt;"",PaymentSchedule[[#This Row],[TOTAL PAYMENT]]-PaymentSchedule[[#This Row],[INTEREST]],"")</f>
        <v>601.46560234927961</v>
      </c>
      <c r="I322" s="6">
        <f>IF(PaymentSchedule[[#This Row],[PMT NO]]&lt;&gt;"",PaymentSchedule[[#This Row],[BEGINNING BALANCE]]*(InterestRate/PaymentsPerYear),"")</f>
        <v>237.90513286457355</v>
      </c>
      <c r="J322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46979.560970565428</v>
      </c>
      <c r="K322" s="6">
        <f>IF(PaymentSchedule[[#This Row],[PMT NO]]&lt;&gt;"",SUM(INDEX(PaymentSchedule[INTEREST],1,1):PaymentSchedule[[#This Row],[INTEREST]]),"")</f>
        <v>154593.92785865217</v>
      </c>
    </row>
    <row r="323" spans="2:11" x14ac:dyDescent="0.2">
      <c r="B323" s="4">
        <f>IF(LoanIsGood,IF(ROW()-ROW(PaymentSchedule[[#Headers],[PMT NO]])&gt;ScheduledNumberOfPayments,"",ROW()-ROW(PaymentSchedule[[#Headers],[PMT NO]])),"")</f>
        <v>297</v>
      </c>
      <c r="C323" s="5">
        <f>IF(PaymentSchedule[[#This Row],[PMT NO]]&lt;&gt;"",EOMONTH(LoanStartDate,ROW(PaymentSchedule[[#This Row],[PMT NO]])-ROW(PaymentSchedule[[#Headers],[PMT NO]])-2)+DAY(LoanStartDate),"")</f>
        <v>55062</v>
      </c>
      <c r="D323" s="6">
        <f>IF(PaymentSchedule[[#This Row],[PMT NO]]&lt;&gt;"",IF(ROW()-ROW(PaymentSchedule[[#Headers],[BEGINNING BALANCE]])=1,LoanAmount,INDEX(PaymentSchedule[ENDING BALANCE],ROW()-ROW(PaymentSchedule[[#Headers],[BEGINNING BALANCE]])-1)),"")</f>
        <v>46979.560970565428</v>
      </c>
      <c r="E323" s="6">
        <f>IF(PaymentSchedule[[#This Row],[PMT NO]]&lt;&gt;"",ScheduledPayment,"")</f>
        <v>839.37073521385321</v>
      </c>
      <c r="F323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323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323" s="6">
        <f>IF(PaymentSchedule[[#This Row],[PMT NO]]&lt;&gt;"",PaymentSchedule[[#This Row],[TOTAL PAYMENT]]-PaymentSchedule[[#This Row],[INTEREST]],"")</f>
        <v>604.4729303610261</v>
      </c>
      <c r="I323" s="6">
        <f>IF(PaymentSchedule[[#This Row],[PMT NO]]&lt;&gt;"",PaymentSchedule[[#This Row],[BEGINNING BALANCE]]*(InterestRate/PaymentsPerYear),"")</f>
        <v>234.89780485282714</v>
      </c>
      <c r="J323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46375.088040204399</v>
      </c>
      <c r="K323" s="6">
        <f>IF(PaymentSchedule[[#This Row],[PMT NO]]&lt;&gt;"",SUM(INDEX(PaymentSchedule[INTEREST],1,1):PaymentSchedule[[#This Row],[INTEREST]]),"")</f>
        <v>154828.82566350501</v>
      </c>
    </row>
    <row r="324" spans="2:11" x14ac:dyDescent="0.2">
      <c r="B324" s="4">
        <f>IF(LoanIsGood,IF(ROW()-ROW(PaymentSchedule[[#Headers],[PMT NO]])&gt;ScheduledNumberOfPayments,"",ROW()-ROW(PaymentSchedule[[#Headers],[PMT NO]])),"")</f>
        <v>298</v>
      </c>
      <c r="C324" s="5">
        <f>IF(PaymentSchedule[[#This Row],[PMT NO]]&lt;&gt;"",EOMONTH(LoanStartDate,ROW(PaymentSchedule[[#This Row],[PMT NO]])-ROW(PaymentSchedule[[#Headers],[PMT NO]])-2)+DAY(LoanStartDate),"")</f>
        <v>55093</v>
      </c>
      <c r="D324" s="6">
        <f>IF(PaymentSchedule[[#This Row],[PMT NO]]&lt;&gt;"",IF(ROW()-ROW(PaymentSchedule[[#Headers],[BEGINNING BALANCE]])=1,LoanAmount,INDEX(PaymentSchedule[ENDING BALANCE],ROW()-ROW(PaymentSchedule[[#Headers],[BEGINNING BALANCE]])-1)),"")</f>
        <v>46375.088040204399</v>
      </c>
      <c r="E324" s="6">
        <f>IF(PaymentSchedule[[#This Row],[PMT NO]]&lt;&gt;"",ScheduledPayment,"")</f>
        <v>839.37073521385321</v>
      </c>
      <c r="F324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324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324" s="6">
        <f>IF(PaymentSchedule[[#This Row],[PMT NO]]&lt;&gt;"",PaymentSchedule[[#This Row],[TOTAL PAYMENT]]-PaymentSchedule[[#This Row],[INTEREST]],"")</f>
        <v>607.49529501283121</v>
      </c>
      <c r="I324" s="6">
        <f>IF(PaymentSchedule[[#This Row],[PMT NO]]&lt;&gt;"",PaymentSchedule[[#This Row],[BEGINNING BALANCE]]*(InterestRate/PaymentsPerYear),"")</f>
        <v>231.875440201022</v>
      </c>
      <c r="J324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45767.59274519157</v>
      </c>
      <c r="K324" s="6">
        <f>IF(PaymentSchedule[[#This Row],[PMT NO]]&lt;&gt;"",SUM(INDEX(PaymentSchedule[INTEREST],1,1):PaymentSchedule[[#This Row],[INTEREST]]),"")</f>
        <v>155060.70110370603</v>
      </c>
    </row>
    <row r="325" spans="2:11" x14ac:dyDescent="0.2">
      <c r="B325" s="4">
        <f>IF(LoanIsGood,IF(ROW()-ROW(PaymentSchedule[[#Headers],[PMT NO]])&gt;ScheduledNumberOfPayments,"",ROW()-ROW(PaymentSchedule[[#Headers],[PMT NO]])),"")</f>
        <v>299</v>
      </c>
      <c r="C325" s="5">
        <f>IF(PaymentSchedule[[#This Row],[PMT NO]]&lt;&gt;"",EOMONTH(LoanStartDate,ROW(PaymentSchedule[[#This Row],[PMT NO]])-ROW(PaymentSchedule[[#Headers],[PMT NO]])-2)+DAY(LoanStartDate),"")</f>
        <v>55123</v>
      </c>
      <c r="D325" s="6">
        <f>IF(PaymentSchedule[[#This Row],[PMT NO]]&lt;&gt;"",IF(ROW()-ROW(PaymentSchedule[[#Headers],[BEGINNING BALANCE]])=1,LoanAmount,INDEX(PaymentSchedule[ENDING BALANCE],ROW()-ROW(PaymentSchedule[[#Headers],[BEGINNING BALANCE]])-1)),"")</f>
        <v>45767.59274519157</v>
      </c>
      <c r="E325" s="6">
        <f>IF(PaymentSchedule[[#This Row],[PMT NO]]&lt;&gt;"",ScheduledPayment,"")</f>
        <v>839.37073521385321</v>
      </c>
      <c r="F325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325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325" s="6">
        <f>IF(PaymentSchedule[[#This Row],[PMT NO]]&lt;&gt;"",PaymentSchedule[[#This Row],[TOTAL PAYMENT]]-PaymentSchedule[[#This Row],[INTEREST]],"")</f>
        <v>610.53277148789539</v>
      </c>
      <c r="I325" s="6">
        <f>IF(PaymentSchedule[[#This Row],[PMT NO]]&lt;&gt;"",PaymentSchedule[[#This Row],[BEGINNING BALANCE]]*(InterestRate/PaymentsPerYear),"")</f>
        <v>228.83796372595785</v>
      </c>
      <c r="J325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45157.059973703675</v>
      </c>
      <c r="K325" s="6">
        <f>IF(PaymentSchedule[[#This Row],[PMT NO]]&lt;&gt;"",SUM(INDEX(PaymentSchedule[INTEREST],1,1):PaymentSchedule[[#This Row],[INTEREST]]),"")</f>
        <v>155289.53906743199</v>
      </c>
    </row>
    <row r="326" spans="2:11" x14ac:dyDescent="0.2">
      <c r="B326" s="4">
        <f>IF(LoanIsGood,IF(ROW()-ROW(PaymentSchedule[[#Headers],[PMT NO]])&gt;ScheduledNumberOfPayments,"",ROW()-ROW(PaymentSchedule[[#Headers],[PMT NO]])),"")</f>
        <v>300</v>
      </c>
      <c r="C326" s="5">
        <f>IF(PaymentSchedule[[#This Row],[PMT NO]]&lt;&gt;"",EOMONTH(LoanStartDate,ROW(PaymentSchedule[[#This Row],[PMT NO]])-ROW(PaymentSchedule[[#Headers],[PMT NO]])-2)+DAY(LoanStartDate),"")</f>
        <v>55154</v>
      </c>
      <c r="D326" s="6">
        <f>IF(PaymentSchedule[[#This Row],[PMT NO]]&lt;&gt;"",IF(ROW()-ROW(PaymentSchedule[[#Headers],[BEGINNING BALANCE]])=1,LoanAmount,INDEX(PaymentSchedule[ENDING BALANCE],ROW()-ROW(PaymentSchedule[[#Headers],[BEGINNING BALANCE]])-1)),"")</f>
        <v>45157.059973703675</v>
      </c>
      <c r="E326" s="6">
        <f>IF(PaymentSchedule[[#This Row],[PMT NO]]&lt;&gt;"",ScheduledPayment,"")</f>
        <v>839.37073521385321</v>
      </c>
      <c r="F326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326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326" s="6">
        <f>IF(PaymentSchedule[[#This Row],[PMT NO]]&lt;&gt;"",PaymentSchedule[[#This Row],[TOTAL PAYMENT]]-PaymentSchedule[[#This Row],[INTEREST]],"")</f>
        <v>613.58543534533487</v>
      </c>
      <c r="I326" s="6">
        <f>IF(PaymentSchedule[[#This Row],[PMT NO]]&lt;&gt;"",PaymentSchedule[[#This Row],[BEGINNING BALANCE]]*(InterestRate/PaymentsPerYear),"")</f>
        <v>225.78529986851839</v>
      </c>
      <c r="J326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44543.474538358343</v>
      </c>
      <c r="K326" s="6">
        <f>IF(PaymentSchedule[[#This Row],[PMT NO]]&lt;&gt;"",SUM(INDEX(PaymentSchedule[INTEREST],1,1):PaymentSchedule[[#This Row],[INTEREST]]),"")</f>
        <v>155515.32436730052</v>
      </c>
    </row>
    <row r="327" spans="2:11" x14ac:dyDescent="0.2">
      <c r="B327" s="4">
        <f>IF(LoanIsGood,IF(ROW()-ROW(PaymentSchedule[[#Headers],[PMT NO]])&gt;ScheduledNumberOfPayments,"",ROW()-ROW(PaymentSchedule[[#Headers],[PMT NO]])),"")</f>
        <v>301</v>
      </c>
      <c r="C327" s="5">
        <f>IF(PaymentSchedule[[#This Row],[PMT NO]]&lt;&gt;"",EOMONTH(LoanStartDate,ROW(PaymentSchedule[[#This Row],[PMT NO]])-ROW(PaymentSchedule[[#Headers],[PMT NO]])-2)+DAY(LoanStartDate),"")</f>
        <v>55185</v>
      </c>
      <c r="D327" s="6">
        <f>IF(PaymentSchedule[[#This Row],[PMT NO]]&lt;&gt;"",IF(ROW()-ROW(PaymentSchedule[[#Headers],[BEGINNING BALANCE]])=1,LoanAmount,INDEX(PaymentSchedule[ENDING BALANCE],ROW()-ROW(PaymentSchedule[[#Headers],[BEGINNING BALANCE]])-1)),"")</f>
        <v>44543.474538358343</v>
      </c>
      <c r="E327" s="6">
        <f>IF(PaymentSchedule[[#This Row],[PMT NO]]&lt;&gt;"",ScheduledPayment,"")</f>
        <v>839.37073521385321</v>
      </c>
      <c r="F327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327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327" s="6">
        <f>IF(PaymentSchedule[[#This Row],[PMT NO]]&lt;&gt;"",PaymentSchedule[[#This Row],[TOTAL PAYMENT]]-PaymentSchedule[[#This Row],[INTEREST]],"")</f>
        <v>616.65336252206146</v>
      </c>
      <c r="I327" s="6">
        <f>IF(PaymentSchedule[[#This Row],[PMT NO]]&lt;&gt;"",PaymentSchedule[[#This Row],[BEGINNING BALANCE]]*(InterestRate/PaymentsPerYear),"")</f>
        <v>222.71737269179172</v>
      </c>
      <c r="J327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43926.821175836281</v>
      </c>
      <c r="K327" s="6">
        <f>IF(PaymentSchedule[[#This Row],[PMT NO]]&lt;&gt;"",SUM(INDEX(PaymentSchedule[INTEREST],1,1):PaymentSchedule[[#This Row],[INTEREST]]),"")</f>
        <v>155738.0417399923</v>
      </c>
    </row>
    <row r="328" spans="2:11" x14ac:dyDescent="0.2">
      <c r="B328" s="4">
        <f>IF(LoanIsGood,IF(ROW()-ROW(PaymentSchedule[[#Headers],[PMT NO]])&gt;ScheduledNumberOfPayments,"",ROW()-ROW(PaymentSchedule[[#Headers],[PMT NO]])),"")</f>
        <v>302</v>
      </c>
      <c r="C328" s="5">
        <f>IF(PaymentSchedule[[#This Row],[PMT NO]]&lt;&gt;"",EOMONTH(LoanStartDate,ROW(PaymentSchedule[[#This Row],[PMT NO]])-ROW(PaymentSchedule[[#Headers],[PMT NO]])-2)+DAY(LoanStartDate),"")</f>
        <v>55213</v>
      </c>
      <c r="D328" s="6">
        <f>IF(PaymentSchedule[[#This Row],[PMT NO]]&lt;&gt;"",IF(ROW()-ROW(PaymentSchedule[[#Headers],[BEGINNING BALANCE]])=1,LoanAmount,INDEX(PaymentSchedule[ENDING BALANCE],ROW()-ROW(PaymentSchedule[[#Headers],[BEGINNING BALANCE]])-1)),"")</f>
        <v>43926.821175836281</v>
      </c>
      <c r="E328" s="6">
        <f>IF(PaymentSchedule[[#This Row],[PMT NO]]&lt;&gt;"",ScheduledPayment,"")</f>
        <v>839.37073521385321</v>
      </c>
      <c r="F328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328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328" s="6">
        <f>IF(PaymentSchedule[[#This Row],[PMT NO]]&lt;&gt;"",PaymentSchedule[[#This Row],[TOTAL PAYMENT]]-PaymentSchedule[[#This Row],[INTEREST]],"")</f>
        <v>619.73662933467176</v>
      </c>
      <c r="I328" s="6">
        <f>IF(PaymentSchedule[[#This Row],[PMT NO]]&lt;&gt;"",PaymentSchedule[[#This Row],[BEGINNING BALANCE]]*(InterestRate/PaymentsPerYear),"")</f>
        <v>219.63410587918142</v>
      </c>
      <c r="J328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43307.08454650161</v>
      </c>
      <c r="K328" s="6">
        <f>IF(PaymentSchedule[[#This Row],[PMT NO]]&lt;&gt;"",SUM(INDEX(PaymentSchedule[INTEREST],1,1):PaymentSchedule[[#This Row],[INTEREST]]),"")</f>
        <v>155957.67584587148</v>
      </c>
    </row>
    <row r="329" spans="2:11" x14ac:dyDescent="0.2">
      <c r="B329" s="4">
        <f>IF(LoanIsGood,IF(ROW()-ROW(PaymentSchedule[[#Headers],[PMT NO]])&gt;ScheduledNumberOfPayments,"",ROW()-ROW(PaymentSchedule[[#Headers],[PMT NO]])),"")</f>
        <v>303</v>
      </c>
      <c r="C329" s="5">
        <f>IF(PaymentSchedule[[#This Row],[PMT NO]]&lt;&gt;"",EOMONTH(LoanStartDate,ROW(PaymentSchedule[[#This Row],[PMT NO]])-ROW(PaymentSchedule[[#Headers],[PMT NO]])-2)+DAY(LoanStartDate),"")</f>
        <v>55244</v>
      </c>
      <c r="D329" s="6">
        <f>IF(PaymentSchedule[[#This Row],[PMT NO]]&lt;&gt;"",IF(ROW()-ROW(PaymentSchedule[[#Headers],[BEGINNING BALANCE]])=1,LoanAmount,INDEX(PaymentSchedule[ENDING BALANCE],ROW()-ROW(PaymentSchedule[[#Headers],[BEGINNING BALANCE]])-1)),"")</f>
        <v>43307.08454650161</v>
      </c>
      <c r="E329" s="6">
        <f>IF(PaymentSchedule[[#This Row],[PMT NO]]&lt;&gt;"",ScheduledPayment,"")</f>
        <v>839.37073521385321</v>
      </c>
      <c r="F329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329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329" s="6">
        <f>IF(PaymentSchedule[[#This Row],[PMT NO]]&lt;&gt;"",PaymentSchedule[[#This Row],[TOTAL PAYMENT]]-PaymentSchedule[[#This Row],[INTEREST]],"")</f>
        <v>622.83531248134511</v>
      </c>
      <c r="I329" s="6">
        <f>IF(PaymentSchedule[[#This Row],[PMT NO]]&lt;&gt;"",PaymentSchedule[[#This Row],[BEGINNING BALANCE]]*(InterestRate/PaymentsPerYear),"")</f>
        <v>216.53542273250807</v>
      </c>
      <c r="J329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42684.249234020266</v>
      </c>
      <c r="K329" s="6">
        <f>IF(PaymentSchedule[[#This Row],[PMT NO]]&lt;&gt;"",SUM(INDEX(PaymentSchedule[INTEREST],1,1):PaymentSchedule[[#This Row],[INTEREST]]),"")</f>
        <v>156174.21126860398</v>
      </c>
    </row>
    <row r="330" spans="2:11" x14ac:dyDescent="0.2">
      <c r="B330" s="4">
        <f>IF(LoanIsGood,IF(ROW()-ROW(PaymentSchedule[[#Headers],[PMT NO]])&gt;ScheduledNumberOfPayments,"",ROW()-ROW(PaymentSchedule[[#Headers],[PMT NO]])),"")</f>
        <v>304</v>
      </c>
      <c r="C330" s="5">
        <f>IF(PaymentSchedule[[#This Row],[PMT NO]]&lt;&gt;"",EOMONTH(LoanStartDate,ROW(PaymentSchedule[[#This Row],[PMT NO]])-ROW(PaymentSchedule[[#Headers],[PMT NO]])-2)+DAY(LoanStartDate),"")</f>
        <v>55274</v>
      </c>
      <c r="D330" s="6">
        <f>IF(PaymentSchedule[[#This Row],[PMT NO]]&lt;&gt;"",IF(ROW()-ROW(PaymentSchedule[[#Headers],[BEGINNING BALANCE]])=1,LoanAmount,INDEX(PaymentSchedule[ENDING BALANCE],ROW()-ROW(PaymentSchedule[[#Headers],[BEGINNING BALANCE]])-1)),"")</f>
        <v>42684.249234020266</v>
      </c>
      <c r="E330" s="6">
        <f>IF(PaymentSchedule[[#This Row],[PMT NO]]&lt;&gt;"",ScheduledPayment,"")</f>
        <v>839.37073521385321</v>
      </c>
      <c r="F330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330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330" s="6">
        <f>IF(PaymentSchedule[[#This Row],[PMT NO]]&lt;&gt;"",PaymentSchedule[[#This Row],[TOTAL PAYMENT]]-PaymentSchedule[[#This Row],[INTEREST]],"")</f>
        <v>625.9494890437519</v>
      </c>
      <c r="I330" s="6">
        <f>IF(PaymentSchedule[[#This Row],[PMT NO]]&lt;&gt;"",PaymentSchedule[[#This Row],[BEGINNING BALANCE]]*(InterestRate/PaymentsPerYear),"")</f>
        <v>213.42124617010134</v>
      </c>
      <c r="J330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42058.299744976517</v>
      </c>
      <c r="K330" s="6">
        <f>IF(PaymentSchedule[[#This Row],[PMT NO]]&lt;&gt;"",SUM(INDEX(PaymentSchedule[INTEREST],1,1):PaymentSchedule[[#This Row],[INTEREST]]),"")</f>
        <v>156387.63251477407</v>
      </c>
    </row>
    <row r="331" spans="2:11" x14ac:dyDescent="0.2">
      <c r="B331" s="4">
        <f>IF(LoanIsGood,IF(ROW()-ROW(PaymentSchedule[[#Headers],[PMT NO]])&gt;ScheduledNumberOfPayments,"",ROW()-ROW(PaymentSchedule[[#Headers],[PMT NO]])),"")</f>
        <v>305</v>
      </c>
      <c r="C331" s="5">
        <f>IF(PaymentSchedule[[#This Row],[PMT NO]]&lt;&gt;"",EOMONTH(LoanStartDate,ROW(PaymentSchedule[[#This Row],[PMT NO]])-ROW(PaymentSchedule[[#Headers],[PMT NO]])-2)+DAY(LoanStartDate),"")</f>
        <v>55305</v>
      </c>
      <c r="D331" s="6">
        <f>IF(PaymentSchedule[[#This Row],[PMT NO]]&lt;&gt;"",IF(ROW()-ROW(PaymentSchedule[[#Headers],[BEGINNING BALANCE]])=1,LoanAmount,INDEX(PaymentSchedule[ENDING BALANCE],ROW()-ROW(PaymentSchedule[[#Headers],[BEGINNING BALANCE]])-1)),"")</f>
        <v>42058.299744976517</v>
      </c>
      <c r="E331" s="6">
        <f>IF(PaymentSchedule[[#This Row],[PMT NO]]&lt;&gt;"",ScheduledPayment,"")</f>
        <v>839.37073521385321</v>
      </c>
      <c r="F331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331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331" s="6">
        <f>IF(PaymentSchedule[[#This Row],[PMT NO]]&lt;&gt;"",PaymentSchedule[[#This Row],[TOTAL PAYMENT]]-PaymentSchedule[[#This Row],[INTEREST]],"")</f>
        <v>629.07923648897065</v>
      </c>
      <c r="I331" s="6">
        <f>IF(PaymentSchedule[[#This Row],[PMT NO]]&lt;&gt;"",PaymentSchedule[[#This Row],[BEGINNING BALANCE]]*(InterestRate/PaymentsPerYear),"")</f>
        <v>210.29149872488259</v>
      </c>
      <c r="J331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41429.220508487546</v>
      </c>
      <c r="K331" s="6">
        <f>IF(PaymentSchedule[[#This Row],[PMT NO]]&lt;&gt;"",SUM(INDEX(PaymentSchedule[INTEREST],1,1):PaymentSchedule[[#This Row],[INTEREST]]),"")</f>
        <v>156597.92401349897</v>
      </c>
    </row>
    <row r="332" spans="2:11" x14ac:dyDescent="0.2">
      <c r="B332" s="4">
        <f>IF(LoanIsGood,IF(ROW()-ROW(PaymentSchedule[[#Headers],[PMT NO]])&gt;ScheduledNumberOfPayments,"",ROW()-ROW(PaymentSchedule[[#Headers],[PMT NO]])),"")</f>
        <v>306</v>
      </c>
      <c r="C332" s="5">
        <f>IF(PaymentSchedule[[#This Row],[PMT NO]]&lt;&gt;"",EOMONTH(LoanStartDate,ROW(PaymentSchedule[[#This Row],[PMT NO]])-ROW(PaymentSchedule[[#Headers],[PMT NO]])-2)+DAY(LoanStartDate),"")</f>
        <v>55335</v>
      </c>
      <c r="D332" s="6">
        <f>IF(PaymentSchedule[[#This Row],[PMT NO]]&lt;&gt;"",IF(ROW()-ROW(PaymentSchedule[[#Headers],[BEGINNING BALANCE]])=1,LoanAmount,INDEX(PaymentSchedule[ENDING BALANCE],ROW()-ROW(PaymentSchedule[[#Headers],[BEGINNING BALANCE]])-1)),"")</f>
        <v>41429.220508487546</v>
      </c>
      <c r="E332" s="6">
        <f>IF(PaymentSchedule[[#This Row],[PMT NO]]&lt;&gt;"",ScheduledPayment,"")</f>
        <v>839.37073521385321</v>
      </c>
      <c r="F332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332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332" s="6">
        <f>IF(PaymentSchedule[[#This Row],[PMT NO]]&lt;&gt;"",PaymentSchedule[[#This Row],[TOTAL PAYMENT]]-PaymentSchedule[[#This Row],[INTEREST]],"")</f>
        <v>632.22463267141552</v>
      </c>
      <c r="I332" s="6">
        <f>IF(PaymentSchedule[[#This Row],[PMT NO]]&lt;&gt;"",PaymentSchedule[[#This Row],[BEGINNING BALANCE]]*(InterestRate/PaymentsPerYear),"")</f>
        <v>207.14610254243775</v>
      </c>
      <c r="J332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40796.99587581613</v>
      </c>
      <c r="K332" s="6">
        <f>IF(PaymentSchedule[[#This Row],[PMT NO]]&lt;&gt;"",SUM(INDEX(PaymentSchedule[INTEREST],1,1):PaymentSchedule[[#This Row],[INTEREST]]),"")</f>
        <v>156805.0701160414</v>
      </c>
    </row>
    <row r="333" spans="2:11" x14ac:dyDescent="0.2">
      <c r="B333" s="4">
        <f>IF(LoanIsGood,IF(ROW()-ROW(PaymentSchedule[[#Headers],[PMT NO]])&gt;ScheduledNumberOfPayments,"",ROW()-ROW(PaymentSchedule[[#Headers],[PMT NO]])),"")</f>
        <v>307</v>
      </c>
      <c r="C333" s="5">
        <f>IF(PaymentSchedule[[#This Row],[PMT NO]]&lt;&gt;"",EOMONTH(LoanStartDate,ROW(PaymentSchedule[[#This Row],[PMT NO]])-ROW(PaymentSchedule[[#Headers],[PMT NO]])-2)+DAY(LoanStartDate),"")</f>
        <v>55366</v>
      </c>
      <c r="D333" s="6">
        <f>IF(PaymentSchedule[[#This Row],[PMT NO]]&lt;&gt;"",IF(ROW()-ROW(PaymentSchedule[[#Headers],[BEGINNING BALANCE]])=1,LoanAmount,INDEX(PaymentSchedule[ENDING BALANCE],ROW()-ROW(PaymentSchedule[[#Headers],[BEGINNING BALANCE]])-1)),"")</f>
        <v>40796.99587581613</v>
      </c>
      <c r="E333" s="6">
        <f>IF(PaymentSchedule[[#This Row],[PMT NO]]&lt;&gt;"",ScheduledPayment,"")</f>
        <v>839.37073521385321</v>
      </c>
      <c r="F333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333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333" s="6">
        <f>IF(PaymentSchedule[[#This Row],[PMT NO]]&lt;&gt;"",PaymentSchedule[[#This Row],[TOTAL PAYMENT]]-PaymentSchedule[[#This Row],[INTEREST]],"")</f>
        <v>635.38575583477257</v>
      </c>
      <c r="I333" s="6">
        <f>IF(PaymentSchedule[[#This Row],[PMT NO]]&lt;&gt;"",PaymentSchedule[[#This Row],[BEGINNING BALANCE]]*(InterestRate/PaymentsPerYear),"")</f>
        <v>203.98497937908064</v>
      </c>
      <c r="J333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40161.610119981357</v>
      </c>
      <c r="K333" s="6">
        <f>IF(PaymentSchedule[[#This Row],[PMT NO]]&lt;&gt;"",SUM(INDEX(PaymentSchedule[INTEREST],1,1):PaymentSchedule[[#This Row],[INTEREST]]),"")</f>
        <v>157009.05509542048</v>
      </c>
    </row>
    <row r="334" spans="2:11" x14ac:dyDescent="0.2">
      <c r="B334" s="4">
        <f>IF(LoanIsGood,IF(ROW()-ROW(PaymentSchedule[[#Headers],[PMT NO]])&gt;ScheduledNumberOfPayments,"",ROW()-ROW(PaymentSchedule[[#Headers],[PMT NO]])),"")</f>
        <v>308</v>
      </c>
      <c r="C334" s="5">
        <f>IF(PaymentSchedule[[#This Row],[PMT NO]]&lt;&gt;"",EOMONTH(LoanStartDate,ROW(PaymentSchedule[[#This Row],[PMT NO]])-ROW(PaymentSchedule[[#Headers],[PMT NO]])-2)+DAY(LoanStartDate),"")</f>
        <v>55397</v>
      </c>
      <c r="D334" s="6">
        <f>IF(PaymentSchedule[[#This Row],[PMT NO]]&lt;&gt;"",IF(ROW()-ROW(PaymentSchedule[[#Headers],[BEGINNING BALANCE]])=1,LoanAmount,INDEX(PaymentSchedule[ENDING BALANCE],ROW()-ROW(PaymentSchedule[[#Headers],[BEGINNING BALANCE]])-1)),"")</f>
        <v>40161.610119981357</v>
      </c>
      <c r="E334" s="6">
        <f>IF(PaymentSchedule[[#This Row],[PMT NO]]&lt;&gt;"",ScheduledPayment,"")</f>
        <v>839.37073521385321</v>
      </c>
      <c r="F334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334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334" s="6">
        <f>IF(PaymentSchedule[[#This Row],[PMT NO]]&lt;&gt;"",PaymentSchedule[[#This Row],[TOTAL PAYMENT]]-PaymentSchedule[[#This Row],[INTEREST]],"")</f>
        <v>638.56268461394643</v>
      </c>
      <c r="I334" s="6">
        <f>IF(PaymentSchedule[[#This Row],[PMT NO]]&lt;&gt;"",PaymentSchedule[[#This Row],[BEGINNING BALANCE]]*(InterestRate/PaymentsPerYear),"")</f>
        <v>200.80805059990678</v>
      </c>
      <c r="J334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39523.047435367407</v>
      </c>
      <c r="K334" s="6">
        <f>IF(PaymentSchedule[[#This Row],[PMT NO]]&lt;&gt;"",SUM(INDEX(PaymentSchedule[INTEREST],1,1):PaymentSchedule[[#This Row],[INTEREST]]),"")</f>
        <v>157209.86314602039</v>
      </c>
    </row>
    <row r="335" spans="2:11" x14ac:dyDescent="0.2">
      <c r="B335" s="4">
        <f>IF(LoanIsGood,IF(ROW()-ROW(PaymentSchedule[[#Headers],[PMT NO]])&gt;ScheduledNumberOfPayments,"",ROW()-ROW(PaymentSchedule[[#Headers],[PMT NO]])),"")</f>
        <v>309</v>
      </c>
      <c r="C335" s="5">
        <f>IF(PaymentSchedule[[#This Row],[PMT NO]]&lt;&gt;"",EOMONTH(LoanStartDate,ROW(PaymentSchedule[[#This Row],[PMT NO]])-ROW(PaymentSchedule[[#Headers],[PMT NO]])-2)+DAY(LoanStartDate),"")</f>
        <v>55427</v>
      </c>
      <c r="D335" s="6">
        <f>IF(PaymentSchedule[[#This Row],[PMT NO]]&lt;&gt;"",IF(ROW()-ROW(PaymentSchedule[[#Headers],[BEGINNING BALANCE]])=1,LoanAmount,INDEX(PaymentSchedule[ENDING BALANCE],ROW()-ROW(PaymentSchedule[[#Headers],[BEGINNING BALANCE]])-1)),"")</f>
        <v>39523.047435367407</v>
      </c>
      <c r="E335" s="6">
        <f>IF(PaymentSchedule[[#This Row],[PMT NO]]&lt;&gt;"",ScheduledPayment,"")</f>
        <v>839.37073521385321</v>
      </c>
      <c r="F335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335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335" s="6">
        <f>IF(PaymentSchedule[[#This Row],[PMT NO]]&lt;&gt;"",PaymentSchedule[[#This Row],[TOTAL PAYMENT]]-PaymentSchedule[[#This Row],[INTEREST]],"")</f>
        <v>641.7554980370162</v>
      </c>
      <c r="I335" s="6">
        <f>IF(PaymentSchedule[[#This Row],[PMT NO]]&lt;&gt;"",PaymentSchedule[[#This Row],[BEGINNING BALANCE]]*(InterestRate/PaymentsPerYear),"")</f>
        <v>197.61523717683704</v>
      </c>
      <c r="J335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38881.291937330388</v>
      </c>
      <c r="K335" s="6">
        <f>IF(PaymentSchedule[[#This Row],[PMT NO]]&lt;&gt;"",SUM(INDEX(PaymentSchedule[INTEREST],1,1):PaymentSchedule[[#This Row],[INTEREST]]),"")</f>
        <v>157407.47838319722</v>
      </c>
    </row>
    <row r="336" spans="2:11" x14ac:dyDescent="0.2">
      <c r="B336" s="4">
        <f>IF(LoanIsGood,IF(ROW()-ROW(PaymentSchedule[[#Headers],[PMT NO]])&gt;ScheduledNumberOfPayments,"",ROW()-ROW(PaymentSchedule[[#Headers],[PMT NO]])),"")</f>
        <v>310</v>
      </c>
      <c r="C336" s="5">
        <f>IF(PaymentSchedule[[#This Row],[PMT NO]]&lt;&gt;"",EOMONTH(LoanStartDate,ROW(PaymentSchedule[[#This Row],[PMT NO]])-ROW(PaymentSchedule[[#Headers],[PMT NO]])-2)+DAY(LoanStartDate),"")</f>
        <v>55458</v>
      </c>
      <c r="D336" s="6">
        <f>IF(PaymentSchedule[[#This Row],[PMT NO]]&lt;&gt;"",IF(ROW()-ROW(PaymentSchedule[[#Headers],[BEGINNING BALANCE]])=1,LoanAmount,INDEX(PaymentSchedule[ENDING BALANCE],ROW()-ROW(PaymentSchedule[[#Headers],[BEGINNING BALANCE]])-1)),"")</f>
        <v>38881.291937330388</v>
      </c>
      <c r="E336" s="6">
        <f>IF(PaymentSchedule[[#This Row],[PMT NO]]&lt;&gt;"",ScheduledPayment,"")</f>
        <v>839.37073521385321</v>
      </c>
      <c r="F336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336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336" s="6">
        <f>IF(PaymentSchedule[[#This Row],[PMT NO]]&lt;&gt;"",PaymentSchedule[[#This Row],[TOTAL PAYMENT]]-PaymentSchedule[[#This Row],[INTEREST]],"")</f>
        <v>644.96427552720127</v>
      </c>
      <c r="I336" s="6">
        <f>IF(PaymentSchedule[[#This Row],[PMT NO]]&lt;&gt;"",PaymentSchedule[[#This Row],[BEGINNING BALANCE]]*(InterestRate/PaymentsPerYear),"")</f>
        <v>194.40645968665194</v>
      </c>
      <c r="J336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38236.327661803189</v>
      </c>
      <c r="K336" s="6">
        <f>IF(PaymentSchedule[[#This Row],[PMT NO]]&lt;&gt;"",SUM(INDEX(PaymentSchedule[INTEREST],1,1):PaymentSchedule[[#This Row],[INTEREST]]),"")</f>
        <v>157601.88484288385</v>
      </c>
    </row>
    <row r="337" spans="2:11" x14ac:dyDescent="0.2">
      <c r="B337" s="4">
        <f>IF(LoanIsGood,IF(ROW()-ROW(PaymentSchedule[[#Headers],[PMT NO]])&gt;ScheduledNumberOfPayments,"",ROW()-ROW(PaymentSchedule[[#Headers],[PMT NO]])),"")</f>
        <v>311</v>
      </c>
      <c r="C337" s="5">
        <f>IF(PaymentSchedule[[#This Row],[PMT NO]]&lt;&gt;"",EOMONTH(LoanStartDate,ROW(PaymentSchedule[[#This Row],[PMT NO]])-ROW(PaymentSchedule[[#Headers],[PMT NO]])-2)+DAY(LoanStartDate),"")</f>
        <v>55488</v>
      </c>
      <c r="D337" s="6">
        <f>IF(PaymentSchedule[[#This Row],[PMT NO]]&lt;&gt;"",IF(ROW()-ROW(PaymentSchedule[[#Headers],[BEGINNING BALANCE]])=1,LoanAmount,INDEX(PaymentSchedule[ENDING BALANCE],ROW()-ROW(PaymentSchedule[[#Headers],[BEGINNING BALANCE]])-1)),"")</f>
        <v>38236.327661803189</v>
      </c>
      <c r="E337" s="6">
        <f>IF(PaymentSchedule[[#This Row],[PMT NO]]&lt;&gt;"",ScheduledPayment,"")</f>
        <v>839.37073521385321</v>
      </c>
      <c r="F337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337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337" s="6">
        <f>IF(PaymentSchedule[[#This Row],[PMT NO]]&lt;&gt;"",PaymentSchedule[[#This Row],[TOTAL PAYMENT]]-PaymentSchedule[[#This Row],[INTEREST]],"")</f>
        <v>648.18909690483724</v>
      </c>
      <c r="I337" s="6">
        <f>IF(PaymentSchedule[[#This Row],[PMT NO]]&lt;&gt;"",PaymentSchedule[[#This Row],[BEGINNING BALANCE]]*(InterestRate/PaymentsPerYear),"")</f>
        <v>191.18163830901594</v>
      </c>
      <c r="J337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37588.138564898349</v>
      </c>
      <c r="K337" s="6">
        <f>IF(PaymentSchedule[[#This Row],[PMT NO]]&lt;&gt;"",SUM(INDEX(PaymentSchedule[INTEREST],1,1):PaymentSchedule[[#This Row],[INTEREST]]),"")</f>
        <v>157793.06648119286</v>
      </c>
    </row>
    <row r="338" spans="2:11" x14ac:dyDescent="0.2">
      <c r="B338" s="4">
        <f>IF(LoanIsGood,IF(ROW()-ROW(PaymentSchedule[[#Headers],[PMT NO]])&gt;ScheduledNumberOfPayments,"",ROW()-ROW(PaymentSchedule[[#Headers],[PMT NO]])),"")</f>
        <v>312</v>
      </c>
      <c r="C338" s="5">
        <f>IF(PaymentSchedule[[#This Row],[PMT NO]]&lt;&gt;"",EOMONTH(LoanStartDate,ROW(PaymentSchedule[[#This Row],[PMT NO]])-ROW(PaymentSchedule[[#Headers],[PMT NO]])-2)+DAY(LoanStartDate),"")</f>
        <v>55519</v>
      </c>
      <c r="D338" s="6">
        <f>IF(PaymentSchedule[[#This Row],[PMT NO]]&lt;&gt;"",IF(ROW()-ROW(PaymentSchedule[[#Headers],[BEGINNING BALANCE]])=1,LoanAmount,INDEX(PaymentSchedule[ENDING BALANCE],ROW()-ROW(PaymentSchedule[[#Headers],[BEGINNING BALANCE]])-1)),"")</f>
        <v>37588.138564898349</v>
      </c>
      <c r="E338" s="6">
        <f>IF(PaymentSchedule[[#This Row],[PMT NO]]&lt;&gt;"",ScheduledPayment,"")</f>
        <v>839.37073521385321</v>
      </c>
      <c r="F338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338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338" s="6">
        <f>IF(PaymentSchedule[[#This Row],[PMT NO]]&lt;&gt;"",PaymentSchedule[[#This Row],[TOTAL PAYMENT]]-PaymentSchedule[[#This Row],[INTEREST]],"")</f>
        <v>651.43004238936146</v>
      </c>
      <c r="I338" s="6">
        <f>IF(PaymentSchedule[[#This Row],[PMT NO]]&lt;&gt;"",PaymentSchedule[[#This Row],[BEGINNING BALANCE]]*(InterestRate/PaymentsPerYear),"")</f>
        <v>187.94069282449175</v>
      </c>
      <c r="J338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36936.70852250899</v>
      </c>
      <c r="K338" s="6">
        <f>IF(PaymentSchedule[[#This Row],[PMT NO]]&lt;&gt;"",SUM(INDEX(PaymentSchedule[INTEREST],1,1):PaymentSchedule[[#This Row],[INTEREST]]),"")</f>
        <v>157981.00717401734</v>
      </c>
    </row>
    <row r="339" spans="2:11" x14ac:dyDescent="0.2">
      <c r="B339" s="4">
        <f>IF(LoanIsGood,IF(ROW()-ROW(PaymentSchedule[[#Headers],[PMT NO]])&gt;ScheduledNumberOfPayments,"",ROW()-ROW(PaymentSchedule[[#Headers],[PMT NO]])),"")</f>
        <v>313</v>
      </c>
      <c r="C339" s="5">
        <f>IF(PaymentSchedule[[#This Row],[PMT NO]]&lt;&gt;"",EOMONTH(LoanStartDate,ROW(PaymentSchedule[[#This Row],[PMT NO]])-ROW(PaymentSchedule[[#Headers],[PMT NO]])-2)+DAY(LoanStartDate),"")</f>
        <v>55550</v>
      </c>
      <c r="D339" s="6">
        <f>IF(PaymentSchedule[[#This Row],[PMT NO]]&lt;&gt;"",IF(ROW()-ROW(PaymentSchedule[[#Headers],[BEGINNING BALANCE]])=1,LoanAmount,INDEX(PaymentSchedule[ENDING BALANCE],ROW()-ROW(PaymentSchedule[[#Headers],[BEGINNING BALANCE]])-1)),"")</f>
        <v>36936.70852250899</v>
      </c>
      <c r="E339" s="6">
        <f>IF(PaymentSchedule[[#This Row],[PMT NO]]&lt;&gt;"",ScheduledPayment,"")</f>
        <v>839.37073521385321</v>
      </c>
      <c r="F339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339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339" s="6">
        <f>IF(PaymentSchedule[[#This Row],[PMT NO]]&lt;&gt;"",PaymentSchedule[[#This Row],[TOTAL PAYMENT]]-PaymentSchedule[[#This Row],[INTEREST]],"")</f>
        <v>654.6871926013082</v>
      </c>
      <c r="I339" s="6">
        <f>IF(PaymentSchedule[[#This Row],[PMT NO]]&lt;&gt;"",PaymentSchedule[[#This Row],[BEGINNING BALANCE]]*(InterestRate/PaymentsPerYear),"")</f>
        <v>184.68354261254495</v>
      </c>
      <c r="J339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36282.021329907686</v>
      </c>
      <c r="K339" s="6">
        <f>IF(PaymentSchedule[[#This Row],[PMT NO]]&lt;&gt;"",SUM(INDEX(PaymentSchedule[INTEREST],1,1):PaymentSchedule[[#This Row],[INTEREST]]),"")</f>
        <v>158165.69071662988</v>
      </c>
    </row>
    <row r="340" spans="2:11" x14ac:dyDescent="0.2">
      <c r="B340" s="4">
        <f>IF(LoanIsGood,IF(ROW()-ROW(PaymentSchedule[[#Headers],[PMT NO]])&gt;ScheduledNumberOfPayments,"",ROW()-ROW(PaymentSchedule[[#Headers],[PMT NO]])),"")</f>
        <v>314</v>
      </c>
      <c r="C340" s="5">
        <f>IF(PaymentSchedule[[#This Row],[PMT NO]]&lt;&gt;"",EOMONTH(LoanStartDate,ROW(PaymentSchedule[[#This Row],[PMT NO]])-ROW(PaymentSchedule[[#Headers],[PMT NO]])-2)+DAY(LoanStartDate),"")</f>
        <v>55579</v>
      </c>
      <c r="D340" s="6">
        <f>IF(PaymentSchedule[[#This Row],[PMT NO]]&lt;&gt;"",IF(ROW()-ROW(PaymentSchedule[[#Headers],[BEGINNING BALANCE]])=1,LoanAmount,INDEX(PaymentSchedule[ENDING BALANCE],ROW()-ROW(PaymentSchedule[[#Headers],[BEGINNING BALANCE]])-1)),"")</f>
        <v>36282.021329907686</v>
      </c>
      <c r="E340" s="6">
        <f>IF(PaymentSchedule[[#This Row],[PMT NO]]&lt;&gt;"",ScheduledPayment,"")</f>
        <v>839.37073521385321</v>
      </c>
      <c r="F340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340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340" s="6">
        <f>IF(PaymentSchedule[[#This Row],[PMT NO]]&lt;&gt;"",PaymentSchedule[[#This Row],[TOTAL PAYMENT]]-PaymentSchedule[[#This Row],[INTEREST]],"")</f>
        <v>657.96062856431479</v>
      </c>
      <c r="I340" s="6">
        <f>IF(PaymentSchedule[[#This Row],[PMT NO]]&lt;&gt;"",PaymentSchedule[[#This Row],[BEGINNING BALANCE]]*(InterestRate/PaymentsPerYear),"")</f>
        <v>181.41010664953842</v>
      </c>
      <c r="J340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35624.060701343369</v>
      </c>
      <c r="K340" s="6">
        <f>IF(PaymentSchedule[[#This Row],[PMT NO]]&lt;&gt;"",SUM(INDEX(PaymentSchedule[INTEREST],1,1):PaymentSchedule[[#This Row],[INTEREST]]),"")</f>
        <v>158347.10082327941</v>
      </c>
    </row>
    <row r="341" spans="2:11" x14ac:dyDescent="0.2">
      <c r="B341" s="4">
        <f>IF(LoanIsGood,IF(ROW()-ROW(PaymentSchedule[[#Headers],[PMT NO]])&gt;ScheduledNumberOfPayments,"",ROW()-ROW(PaymentSchedule[[#Headers],[PMT NO]])),"")</f>
        <v>315</v>
      </c>
      <c r="C341" s="5">
        <f>IF(PaymentSchedule[[#This Row],[PMT NO]]&lt;&gt;"",EOMONTH(LoanStartDate,ROW(PaymentSchedule[[#This Row],[PMT NO]])-ROW(PaymentSchedule[[#Headers],[PMT NO]])-2)+DAY(LoanStartDate),"")</f>
        <v>55610</v>
      </c>
      <c r="D341" s="6">
        <f>IF(PaymentSchedule[[#This Row],[PMT NO]]&lt;&gt;"",IF(ROW()-ROW(PaymentSchedule[[#Headers],[BEGINNING BALANCE]])=1,LoanAmount,INDEX(PaymentSchedule[ENDING BALANCE],ROW()-ROW(PaymentSchedule[[#Headers],[BEGINNING BALANCE]])-1)),"")</f>
        <v>35624.060701343369</v>
      </c>
      <c r="E341" s="6">
        <f>IF(PaymentSchedule[[#This Row],[PMT NO]]&lt;&gt;"",ScheduledPayment,"")</f>
        <v>839.37073521385321</v>
      </c>
      <c r="F341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341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341" s="6">
        <f>IF(PaymentSchedule[[#This Row],[PMT NO]]&lt;&gt;"",PaymentSchedule[[#This Row],[TOTAL PAYMENT]]-PaymentSchedule[[#This Row],[INTEREST]],"")</f>
        <v>661.25043170713639</v>
      </c>
      <c r="I341" s="6">
        <f>IF(PaymentSchedule[[#This Row],[PMT NO]]&lt;&gt;"",PaymentSchedule[[#This Row],[BEGINNING BALANCE]]*(InterestRate/PaymentsPerYear),"")</f>
        <v>178.12030350671685</v>
      </c>
      <c r="J341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34962.810269636233</v>
      </c>
      <c r="K341" s="6">
        <f>IF(PaymentSchedule[[#This Row],[PMT NO]]&lt;&gt;"",SUM(INDEX(PaymentSchedule[INTEREST],1,1):PaymentSchedule[[#This Row],[INTEREST]]),"")</f>
        <v>158525.22112678614</v>
      </c>
    </row>
    <row r="342" spans="2:11" x14ac:dyDescent="0.2">
      <c r="B342" s="4">
        <f>IF(LoanIsGood,IF(ROW()-ROW(PaymentSchedule[[#Headers],[PMT NO]])&gt;ScheduledNumberOfPayments,"",ROW()-ROW(PaymentSchedule[[#Headers],[PMT NO]])),"")</f>
        <v>316</v>
      </c>
      <c r="C342" s="5">
        <f>IF(PaymentSchedule[[#This Row],[PMT NO]]&lt;&gt;"",EOMONTH(LoanStartDate,ROW(PaymentSchedule[[#This Row],[PMT NO]])-ROW(PaymentSchedule[[#Headers],[PMT NO]])-2)+DAY(LoanStartDate),"")</f>
        <v>55640</v>
      </c>
      <c r="D342" s="6">
        <f>IF(PaymentSchedule[[#This Row],[PMT NO]]&lt;&gt;"",IF(ROW()-ROW(PaymentSchedule[[#Headers],[BEGINNING BALANCE]])=1,LoanAmount,INDEX(PaymentSchedule[ENDING BALANCE],ROW()-ROW(PaymentSchedule[[#Headers],[BEGINNING BALANCE]])-1)),"")</f>
        <v>34962.810269636233</v>
      </c>
      <c r="E342" s="6">
        <f>IF(PaymentSchedule[[#This Row],[PMT NO]]&lt;&gt;"",ScheduledPayment,"")</f>
        <v>839.37073521385321</v>
      </c>
      <c r="F342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342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342" s="6">
        <f>IF(PaymentSchedule[[#This Row],[PMT NO]]&lt;&gt;"",PaymentSchedule[[#This Row],[TOTAL PAYMENT]]-PaymentSchedule[[#This Row],[INTEREST]],"")</f>
        <v>664.55668386567208</v>
      </c>
      <c r="I342" s="6">
        <f>IF(PaymentSchedule[[#This Row],[PMT NO]]&lt;&gt;"",PaymentSchedule[[#This Row],[BEGINNING BALANCE]]*(InterestRate/PaymentsPerYear),"")</f>
        <v>174.81405134818118</v>
      </c>
      <c r="J342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34298.253585770559</v>
      </c>
      <c r="K342" s="6">
        <f>IF(PaymentSchedule[[#This Row],[PMT NO]]&lt;&gt;"",SUM(INDEX(PaymentSchedule[INTEREST],1,1):PaymentSchedule[[#This Row],[INTEREST]]),"")</f>
        <v>158700.03517813433</v>
      </c>
    </row>
    <row r="343" spans="2:11" x14ac:dyDescent="0.2">
      <c r="B343" s="4">
        <f>IF(LoanIsGood,IF(ROW()-ROW(PaymentSchedule[[#Headers],[PMT NO]])&gt;ScheduledNumberOfPayments,"",ROW()-ROW(PaymentSchedule[[#Headers],[PMT NO]])),"")</f>
        <v>317</v>
      </c>
      <c r="C343" s="5">
        <f>IF(PaymentSchedule[[#This Row],[PMT NO]]&lt;&gt;"",EOMONTH(LoanStartDate,ROW(PaymentSchedule[[#This Row],[PMT NO]])-ROW(PaymentSchedule[[#Headers],[PMT NO]])-2)+DAY(LoanStartDate),"")</f>
        <v>55671</v>
      </c>
      <c r="D343" s="6">
        <f>IF(PaymentSchedule[[#This Row],[PMT NO]]&lt;&gt;"",IF(ROW()-ROW(PaymentSchedule[[#Headers],[BEGINNING BALANCE]])=1,LoanAmount,INDEX(PaymentSchedule[ENDING BALANCE],ROW()-ROW(PaymentSchedule[[#Headers],[BEGINNING BALANCE]])-1)),"")</f>
        <v>34298.253585770559</v>
      </c>
      <c r="E343" s="6">
        <f>IF(PaymentSchedule[[#This Row],[PMT NO]]&lt;&gt;"",ScheduledPayment,"")</f>
        <v>839.37073521385321</v>
      </c>
      <c r="F343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343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343" s="6">
        <f>IF(PaymentSchedule[[#This Row],[PMT NO]]&lt;&gt;"",PaymentSchedule[[#This Row],[TOTAL PAYMENT]]-PaymentSchedule[[#This Row],[INTEREST]],"")</f>
        <v>667.87946728500037</v>
      </c>
      <c r="I343" s="6">
        <f>IF(PaymentSchedule[[#This Row],[PMT NO]]&lt;&gt;"",PaymentSchedule[[#This Row],[BEGINNING BALANCE]]*(InterestRate/PaymentsPerYear),"")</f>
        <v>171.49126792885281</v>
      </c>
      <c r="J343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33630.374118485561</v>
      </c>
      <c r="K343" s="6">
        <f>IF(PaymentSchedule[[#This Row],[PMT NO]]&lt;&gt;"",SUM(INDEX(PaymentSchedule[INTEREST],1,1):PaymentSchedule[[#This Row],[INTEREST]]),"")</f>
        <v>158871.52644606319</v>
      </c>
    </row>
    <row r="344" spans="2:11" x14ac:dyDescent="0.2">
      <c r="B344" s="4">
        <f>IF(LoanIsGood,IF(ROW()-ROW(PaymentSchedule[[#Headers],[PMT NO]])&gt;ScheduledNumberOfPayments,"",ROW()-ROW(PaymentSchedule[[#Headers],[PMT NO]])),"")</f>
        <v>318</v>
      </c>
      <c r="C344" s="5">
        <f>IF(PaymentSchedule[[#This Row],[PMT NO]]&lt;&gt;"",EOMONTH(LoanStartDate,ROW(PaymentSchedule[[#This Row],[PMT NO]])-ROW(PaymentSchedule[[#Headers],[PMT NO]])-2)+DAY(LoanStartDate),"")</f>
        <v>55701</v>
      </c>
      <c r="D344" s="6">
        <f>IF(PaymentSchedule[[#This Row],[PMT NO]]&lt;&gt;"",IF(ROW()-ROW(PaymentSchedule[[#Headers],[BEGINNING BALANCE]])=1,LoanAmount,INDEX(PaymentSchedule[ENDING BALANCE],ROW()-ROW(PaymentSchedule[[#Headers],[BEGINNING BALANCE]])-1)),"")</f>
        <v>33630.374118485561</v>
      </c>
      <c r="E344" s="6">
        <f>IF(PaymentSchedule[[#This Row],[PMT NO]]&lt;&gt;"",ScheduledPayment,"")</f>
        <v>839.37073521385321</v>
      </c>
      <c r="F344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344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344" s="6">
        <f>IF(PaymentSchedule[[#This Row],[PMT NO]]&lt;&gt;"",PaymentSchedule[[#This Row],[TOTAL PAYMENT]]-PaymentSchedule[[#This Row],[INTEREST]],"")</f>
        <v>671.21886462142538</v>
      </c>
      <c r="I344" s="6">
        <f>IF(PaymentSchedule[[#This Row],[PMT NO]]&lt;&gt;"",PaymentSchedule[[#This Row],[BEGINNING BALANCE]]*(InterestRate/PaymentsPerYear),"")</f>
        <v>168.1518705924278</v>
      </c>
      <c r="J344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32959.155253864134</v>
      </c>
      <c r="K344" s="6">
        <f>IF(PaymentSchedule[[#This Row],[PMT NO]]&lt;&gt;"",SUM(INDEX(PaymentSchedule[INTEREST],1,1):PaymentSchedule[[#This Row],[INTEREST]]),"")</f>
        <v>159039.67831665563</v>
      </c>
    </row>
    <row r="345" spans="2:11" x14ac:dyDescent="0.2">
      <c r="B345" s="4">
        <f>IF(LoanIsGood,IF(ROW()-ROW(PaymentSchedule[[#Headers],[PMT NO]])&gt;ScheduledNumberOfPayments,"",ROW()-ROW(PaymentSchedule[[#Headers],[PMT NO]])),"")</f>
        <v>319</v>
      </c>
      <c r="C345" s="5">
        <f>IF(PaymentSchedule[[#This Row],[PMT NO]]&lt;&gt;"",EOMONTH(LoanStartDate,ROW(PaymentSchedule[[#This Row],[PMT NO]])-ROW(PaymentSchedule[[#Headers],[PMT NO]])-2)+DAY(LoanStartDate),"")</f>
        <v>55732</v>
      </c>
      <c r="D345" s="6">
        <f>IF(PaymentSchedule[[#This Row],[PMT NO]]&lt;&gt;"",IF(ROW()-ROW(PaymentSchedule[[#Headers],[BEGINNING BALANCE]])=1,LoanAmount,INDEX(PaymentSchedule[ENDING BALANCE],ROW()-ROW(PaymentSchedule[[#Headers],[BEGINNING BALANCE]])-1)),"")</f>
        <v>32959.155253864134</v>
      </c>
      <c r="E345" s="6">
        <f>IF(PaymentSchedule[[#This Row],[PMT NO]]&lt;&gt;"",ScheduledPayment,"")</f>
        <v>839.37073521385321</v>
      </c>
      <c r="F345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345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345" s="6">
        <f>IF(PaymentSchedule[[#This Row],[PMT NO]]&lt;&gt;"",PaymentSchedule[[#This Row],[TOTAL PAYMENT]]-PaymentSchedule[[#This Row],[INTEREST]],"")</f>
        <v>674.57495894453257</v>
      </c>
      <c r="I345" s="6">
        <f>IF(PaymentSchedule[[#This Row],[PMT NO]]&lt;&gt;"",PaymentSchedule[[#This Row],[BEGINNING BALANCE]]*(InterestRate/PaymentsPerYear),"")</f>
        <v>164.79577626932067</v>
      </c>
      <c r="J345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32284.5802949196</v>
      </c>
      <c r="K345" s="6">
        <f>IF(PaymentSchedule[[#This Row],[PMT NO]]&lt;&gt;"",SUM(INDEX(PaymentSchedule[INTEREST],1,1):PaymentSchedule[[#This Row],[INTEREST]]),"")</f>
        <v>159204.47409292494</v>
      </c>
    </row>
    <row r="346" spans="2:11" x14ac:dyDescent="0.2">
      <c r="B346" s="4">
        <f>IF(LoanIsGood,IF(ROW()-ROW(PaymentSchedule[[#Headers],[PMT NO]])&gt;ScheduledNumberOfPayments,"",ROW()-ROW(PaymentSchedule[[#Headers],[PMT NO]])),"")</f>
        <v>320</v>
      </c>
      <c r="C346" s="5">
        <f>IF(PaymentSchedule[[#This Row],[PMT NO]]&lt;&gt;"",EOMONTH(LoanStartDate,ROW(PaymentSchedule[[#This Row],[PMT NO]])-ROW(PaymentSchedule[[#Headers],[PMT NO]])-2)+DAY(LoanStartDate),"")</f>
        <v>55763</v>
      </c>
      <c r="D346" s="6">
        <f>IF(PaymentSchedule[[#This Row],[PMT NO]]&lt;&gt;"",IF(ROW()-ROW(PaymentSchedule[[#Headers],[BEGINNING BALANCE]])=1,LoanAmount,INDEX(PaymentSchedule[ENDING BALANCE],ROW()-ROW(PaymentSchedule[[#Headers],[BEGINNING BALANCE]])-1)),"")</f>
        <v>32284.5802949196</v>
      </c>
      <c r="E346" s="6">
        <f>IF(PaymentSchedule[[#This Row],[PMT NO]]&lt;&gt;"",ScheduledPayment,"")</f>
        <v>839.37073521385321</v>
      </c>
      <c r="F346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346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346" s="6">
        <f>IF(PaymentSchedule[[#This Row],[PMT NO]]&lt;&gt;"",PaymentSchedule[[#This Row],[TOTAL PAYMENT]]-PaymentSchedule[[#This Row],[INTEREST]],"")</f>
        <v>677.9478337392552</v>
      </c>
      <c r="I346" s="6">
        <f>IF(PaymentSchedule[[#This Row],[PMT NO]]&lt;&gt;"",PaymentSchedule[[#This Row],[BEGINNING BALANCE]]*(InterestRate/PaymentsPerYear),"")</f>
        <v>161.42290147459801</v>
      </c>
      <c r="J346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31606.632461180347</v>
      </c>
      <c r="K346" s="6">
        <f>IF(PaymentSchedule[[#This Row],[PMT NO]]&lt;&gt;"",SUM(INDEX(PaymentSchedule[INTEREST],1,1):PaymentSchedule[[#This Row],[INTEREST]]),"")</f>
        <v>159365.89699439955</v>
      </c>
    </row>
    <row r="347" spans="2:11" x14ac:dyDescent="0.2">
      <c r="B347" s="4">
        <f>IF(LoanIsGood,IF(ROW()-ROW(PaymentSchedule[[#Headers],[PMT NO]])&gt;ScheduledNumberOfPayments,"",ROW()-ROW(PaymentSchedule[[#Headers],[PMT NO]])),"")</f>
        <v>321</v>
      </c>
      <c r="C347" s="5">
        <f>IF(PaymentSchedule[[#This Row],[PMT NO]]&lt;&gt;"",EOMONTH(LoanStartDate,ROW(PaymentSchedule[[#This Row],[PMT NO]])-ROW(PaymentSchedule[[#Headers],[PMT NO]])-2)+DAY(LoanStartDate),"")</f>
        <v>55793</v>
      </c>
      <c r="D347" s="6">
        <f>IF(PaymentSchedule[[#This Row],[PMT NO]]&lt;&gt;"",IF(ROW()-ROW(PaymentSchedule[[#Headers],[BEGINNING BALANCE]])=1,LoanAmount,INDEX(PaymentSchedule[ENDING BALANCE],ROW()-ROW(PaymentSchedule[[#Headers],[BEGINNING BALANCE]])-1)),"")</f>
        <v>31606.632461180347</v>
      </c>
      <c r="E347" s="6">
        <f>IF(PaymentSchedule[[#This Row],[PMT NO]]&lt;&gt;"",ScheduledPayment,"")</f>
        <v>839.37073521385321</v>
      </c>
      <c r="F347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347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347" s="6">
        <f>IF(PaymentSchedule[[#This Row],[PMT NO]]&lt;&gt;"",PaymentSchedule[[#This Row],[TOTAL PAYMENT]]-PaymentSchedule[[#This Row],[INTEREST]],"")</f>
        <v>681.33757290795143</v>
      </c>
      <c r="I347" s="6">
        <f>IF(PaymentSchedule[[#This Row],[PMT NO]]&lt;&gt;"",PaymentSchedule[[#This Row],[BEGINNING BALANCE]]*(InterestRate/PaymentsPerYear),"")</f>
        <v>158.03316230590173</v>
      </c>
      <c r="J347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30925.294888272394</v>
      </c>
      <c r="K347" s="6">
        <f>IF(PaymentSchedule[[#This Row],[PMT NO]]&lt;&gt;"",SUM(INDEX(PaymentSchedule[INTEREST],1,1):PaymentSchedule[[#This Row],[INTEREST]]),"")</f>
        <v>159523.93015670544</v>
      </c>
    </row>
    <row r="348" spans="2:11" x14ac:dyDescent="0.2">
      <c r="B348" s="4">
        <f>IF(LoanIsGood,IF(ROW()-ROW(PaymentSchedule[[#Headers],[PMT NO]])&gt;ScheduledNumberOfPayments,"",ROW()-ROW(PaymentSchedule[[#Headers],[PMT NO]])),"")</f>
        <v>322</v>
      </c>
      <c r="C348" s="5">
        <f>IF(PaymentSchedule[[#This Row],[PMT NO]]&lt;&gt;"",EOMONTH(LoanStartDate,ROW(PaymentSchedule[[#This Row],[PMT NO]])-ROW(PaymentSchedule[[#Headers],[PMT NO]])-2)+DAY(LoanStartDate),"")</f>
        <v>55824</v>
      </c>
      <c r="D348" s="6">
        <f>IF(PaymentSchedule[[#This Row],[PMT NO]]&lt;&gt;"",IF(ROW()-ROW(PaymentSchedule[[#Headers],[BEGINNING BALANCE]])=1,LoanAmount,INDEX(PaymentSchedule[ENDING BALANCE],ROW()-ROW(PaymentSchedule[[#Headers],[BEGINNING BALANCE]])-1)),"")</f>
        <v>30925.294888272394</v>
      </c>
      <c r="E348" s="6">
        <f>IF(PaymentSchedule[[#This Row],[PMT NO]]&lt;&gt;"",ScheduledPayment,"")</f>
        <v>839.37073521385321</v>
      </c>
      <c r="F348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348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348" s="6">
        <f>IF(PaymentSchedule[[#This Row],[PMT NO]]&lt;&gt;"",PaymentSchedule[[#This Row],[TOTAL PAYMENT]]-PaymentSchedule[[#This Row],[INTEREST]],"")</f>
        <v>684.7442607724912</v>
      </c>
      <c r="I348" s="6">
        <f>IF(PaymentSchedule[[#This Row],[PMT NO]]&lt;&gt;"",PaymentSchedule[[#This Row],[BEGINNING BALANCE]]*(InterestRate/PaymentsPerYear),"")</f>
        <v>154.62647444136198</v>
      </c>
      <c r="J348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30240.550627499902</v>
      </c>
      <c r="K348" s="6">
        <f>IF(PaymentSchedule[[#This Row],[PMT NO]]&lt;&gt;"",SUM(INDEX(PaymentSchedule[INTEREST],1,1):PaymentSchedule[[#This Row],[INTEREST]]),"")</f>
        <v>159678.55663114678</v>
      </c>
    </row>
    <row r="349" spans="2:11" x14ac:dyDescent="0.2">
      <c r="B349" s="4">
        <f>IF(LoanIsGood,IF(ROW()-ROW(PaymentSchedule[[#Headers],[PMT NO]])&gt;ScheduledNumberOfPayments,"",ROW()-ROW(PaymentSchedule[[#Headers],[PMT NO]])),"")</f>
        <v>323</v>
      </c>
      <c r="C349" s="5">
        <f>IF(PaymentSchedule[[#This Row],[PMT NO]]&lt;&gt;"",EOMONTH(LoanStartDate,ROW(PaymentSchedule[[#This Row],[PMT NO]])-ROW(PaymentSchedule[[#Headers],[PMT NO]])-2)+DAY(LoanStartDate),"")</f>
        <v>55854</v>
      </c>
      <c r="D349" s="6">
        <f>IF(PaymentSchedule[[#This Row],[PMT NO]]&lt;&gt;"",IF(ROW()-ROW(PaymentSchedule[[#Headers],[BEGINNING BALANCE]])=1,LoanAmount,INDEX(PaymentSchedule[ENDING BALANCE],ROW()-ROW(PaymentSchedule[[#Headers],[BEGINNING BALANCE]])-1)),"")</f>
        <v>30240.550627499902</v>
      </c>
      <c r="E349" s="6">
        <f>IF(PaymentSchedule[[#This Row],[PMT NO]]&lt;&gt;"",ScheduledPayment,"")</f>
        <v>839.37073521385321</v>
      </c>
      <c r="F349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349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349" s="6">
        <f>IF(PaymentSchedule[[#This Row],[PMT NO]]&lt;&gt;"",PaymentSchedule[[#This Row],[TOTAL PAYMENT]]-PaymentSchedule[[#This Row],[INTEREST]],"")</f>
        <v>688.16798207635372</v>
      </c>
      <c r="I349" s="6">
        <f>IF(PaymentSchedule[[#This Row],[PMT NO]]&lt;&gt;"",PaymentSchedule[[#This Row],[BEGINNING BALANCE]]*(InterestRate/PaymentsPerYear),"")</f>
        <v>151.20275313749951</v>
      </c>
      <c r="J349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29552.38264542355</v>
      </c>
      <c r="K349" s="6">
        <f>IF(PaymentSchedule[[#This Row],[PMT NO]]&lt;&gt;"",SUM(INDEX(PaymentSchedule[INTEREST],1,1):PaymentSchedule[[#This Row],[INTEREST]]),"")</f>
        <v>159829.75938428429</v>
      </c>
    </row>
    <row r="350" spans="2:11" x14ac:dyDescent="0.2">
      <c r="B350" s="4">
        <f>IF(LoanIsGood,IF(ROW()-ROW(PaymentSchedule[[#Headers],[PMT NO]])&gt;ScheduledNumberOfPayments,"",ROW()-ROW(PaymentSchedule[[#Headers],[PMT NO]])),"")</f>
        <v>324</v>
      </c>
      <c r="C350" s="5">
        <f>IF(PaymentSchedule[[#This Row],[PMT NO]]&lt;&gt;"",EOMONTH(LoanStartDate,ROW(PaymentSchedule[[#This Row],[PMT NO]])-ROW(PaymentSchedule[[#Headers],[PMT NO]])-2)+DAY(LoanStartDate),"")</f>
        <v>55885</v>
      </c>
      <c r="D350" s="6">
        <f>IF(PaymentSchedule[[#This Row],[PMT NO]]&lt;&gt;"",IF(ROW()-ROW(PaymentSchedule[[#Headers],[BEGINNING BALANCE]])=1,LoanAmount,INDEX(PaymentSchedule[ENDING BALANCE],ROW()-ROW(PaymentSchedule[[#Headers],[BEGINNING BALANCE]])-1)),"")</f>
        <v>29552.38264542355</v>
      </c>
      <c r="E350" s="6">
        <f>IF(PaymentSchedule[[#This Row],[PMT NO]]&lt;&gt;"",ScheduledPayment,"")</f>
        <v>839.37073521385321</v>
      </c>
      <c r="F350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350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350" s="6">
        <f>IF(PaymentSchedule[[#This Row],[PMT NO]]&lt;&gt;"",PaymentSchedule[[#This Row],[TOTAL PAYMENT]]-PaymentSchedule[[#This Row],[INTEREST]],"")</f>
        <v>691.60882198673539</v>
      </c>
      <c r="I350" s="6">
        <f>IF(PaymentSchedule[[#This Row],[PMT NO]]&lt;&gt;"",PaymentSchedule[[#This Row],[BEGINNING BALANCE]]*(InterestRate/PaymentsPerYear),"")</f>
        <v>147.76191322711776</v>
      </c>
      <c r="J350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28860.773823436815</v>
      </c>
      <c r="K350" s="6">
        <f>IF(PaymentSchedule[[#This Row],[PMT NO]]&lt;&gt;"",SUM(INDEX(PaymentSchedule[INTEREST],1,1):PaymentSchedule[[#This Row],[INTEREST]]),"")</f>
        <v>159977.52129751141</v>
      </c>
    </row>
    <row r="351" spans="2:11" x14ac:dyDescent="0.2">
      <c r="B351" s="4">
        <f>IF(LoanIsGood,IF(ROW()-ROW(PaymentSchedule[[#Headers],[PMT NO]])&gt;ScheduledNumberOfPayments,"",ROW()-ROW(PaymentSchedule[[#Headers],[PMT NO]])),"")</f>
        <v>325</v>
      </c>
      <c r="C351" s="5">
        <f>IF(PaymentSchedule[[#This Row],[PMT NO]]&lt;&gt;"",EOMONTH(LoanStartDate,ROW(PaymentSchedule[[#This Row],[PMT NO]])-ROW(PaymentSchedule[[#Headers],[PMT NO]])-2)+DAY(LoanStartDate),"")</f>
        <v>55916</v>
      </c>
      <c r="D351" s="6">
        <f>IF(PaymentSchedule[[#This Row],[PMT NO]]&lt;&gt;"",IF(ROW()-ROW(PaymentSchedule[[#Headers],[BEGINNING BALANCE]])=1,LoanAmount,INDEX(PaymentSchedule[ENDING BALANCE],ROW()-ROW(PaymentSchedule[[#Headers],[BEGINNING BALANCE]])-1)),"")</f>
        <v>28860.773823436815</v>
      </c>
      <c r="E351" s="6">
        <f>IF(PaymentSchedule[[#This Row],[PMT NO]]&lt;&gt;"",ScheduledPayment,"")</f>
        <v>839.37073521385321</v>
      </c>
      <c r="F351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351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351" s="6">
        <f>IF(PaymentSchedule[[#This Row],[PMT NO]]&lt;&gt;"",PaymentSchedule[[#This Row],[TOTAL PAYMENT]]-PaymentSchedule[[#This Row],[INTEREST]],"")</f>
        <v>695.06686609666917</v>
      </c>
      <c r="I351" s="6">
        <f>IF(PaymentSchedule[[#This Row],[PMT NO]]&lt;&gt;"",PaymentSchedule[[#This Row],[BEGINNING BALANCE]]*(InterestRate/PaymentsPerYear),"")</f>
        <v>144.30386911718409</v>
      </c>
      <c r="J351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28165.706957340146</v>
      </c>
      <c r="K351" s="6">
        <f>IF(PaymentSchedule[[#This Row],[PMT NO]]&lt;&gt;"",SUM(INDEX(PaymentSchedule[INTEREST],1,1):PaymentSchedule[[#This Row],[INTEREST]]),"")</f>
        <v>160121.82516662861</v>
      </c>
    </row>
    <row r="352" spans="2:11" x14ac:dyDescent="0.2">
      <c r="B352" s="4">
        <f>IF(LoanIsGood,IF(ROW()-ROW(PaymentSchedule[[#Headers],[PMT NO]])&gt;ScheduledNumberOfPayments,"",ROW()-ROW(PaymentSchedule[[#Headers],[PMT NO]])),"")</f>
        <v>326</v>
      </c>
      <c r="C352" s="5">
        <f>IF(PaymentSchedule[[#This Row],[PMT NO]]&lt;&gt;"",EOMONTH(LoanStartDate,ROW(PaymentSchedule[[#This Row],[PMT NO]])-ROW(PaymentSchedule[[#Headers],[PMT NO]])-2)+DAY(LoanStartDate),"")</f>
        <v>55944</v>
      </c>
      <c r="D352" s="6">
        <f>IF(PaymentSchedule[[#This Row],[PMT NO]]&lt;&gt;"",IF(ROW()-ROW(PaymentSchedule[[#Headers],[BEGINNING BALANCE]])=1,LoanAmount,INDEX(PaymentSchedule[ENDING BALANCE],ROW()-ROW(PaymentSchedule[[#Headers],[BEGINNING BALANCE]])-1)),"")</f>
        <v>28165.706957340146</v>
      </c>
      <c r="E352" s="6">
        <f>IF(PaymentSchedule[[#This Row],[PMT NO]]&lt;&gt;"",ScheduledPayment,"")</f>
        <v>839.37073521385321</v>
      </c>
      <c r="F352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352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352" s="6">
        <f>IF(PaymentSchedule[[#This Row],[PMT NO]]&lt;&gt;"",PaymentSchedule[[#This Row],[TOTAL PAYMENT]]-PaymentSchedule[[#This Row],[INTEREST]],"")</f>
        <v>698.54220042715247</v>
      </c>
      <c r="I352" s="6">
        <f>IF(PaymentSchedule[[#This Row],[PMT NO]]&lt;&gt;"",PaymentSchedule[[#This Row],[BEGINNING BALANCE]]*(InterestRate/PaymentsPerYear),"")</f>
        <v>140.82853478670074</v>
      </c>
      <c r="J352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27467.164756912993</v>
      </c>
      <c r="K352" s="6">
        <f>IF(PaymentSchedule[[#This Row],[PMT NO]]&lt;&gt;"",SUM(INDEX(PaymentSchedule[INTEREST],1,1):PaymentSchedule[[#This Row],[INTEREST]]),"")</f>
        <v>160262.65370141531</v>
      </c>
    </row>
    <row r="353" spans="2:11" x14ac:dyDescent="0.2">
      <c r="B353" s="4">
        <f>IF(LoanIsGood,IF(ROW()-ROW(PaymentSchedule[[#Headers],[PMT NO]])&gt;ScheduledNumberOfPayments,"",ROW()-ROW(PaymentSchedule[[#Headers],[PMT NO]])),"")</f>
        <v>327</v>
      </c>
      <c r="C353" s="5">
        <f>IF(PaymentSchedule[[#This Row],[PMT NO]]&lt;&gt;"",EOMONTH(LoanStartDate,ROW(PaymentSchedule[[#This Row],[PMT NO]])-ROW(PaymentSchedule[[#Headers],[PMT NO]])-2)+DAY(LoanStartDate),"")</f>
        <v>55975</v>
      </c>
      <c r="D353" s="6">
        <f>IF(PaymentSchedule[[#This Row],[PMT NO]]&lt;&gt;"",IF(ROW()-ROW(PaymentSchedule[[#Headers],[BEGINNING BALANCE]])=1,LoanAmount,INDEX(PaymentSchedule[ENDING BALANCE],ROW()-ROW(PaymentSchedule[[#Headers],[BEGINNING BALANCE]])-1)),"")</f>
        <v>27467.164756912993</v>
      </c>
      <c r="E353" s="6">
        <f>IF(PaymentSchedule[[#This Row],[PMT NO]]&lt;&gt;"",ScheduledPayment,"")</f>
        <v>839.37073521385321</v>
      </c>
      <c r="F353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353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353" s="6">
        <f>IF(PaymentSchedule[[#This Row],[PMT NO]]&lt;&gt;"",PaymentSchedule[[#This Row],[TOTAL PAYMENT]]-PaymentSchedule[[#This Row],[INTEREST]],"")</f>
        <v>702.03491142928829</v>
      </c>
      <c r="I353" s="6">
        <f>IF(PaymentSchedule[[#This Row],[PMT NO]]&lt;&gt;"",PaymentSchedule[[#This Row],[BEGINNING BALANCE]]*(InterestRate/PaymentsPerYear),"")</f>
        <v>137.33582378456498</v>
      </c>
      <c r="J353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26765.129845483705</v>
      </c>
      <c r="K353" s="6">
        <f>IF(PaymentSchedule[[#This Row],[PMT NO]]&lt;&gt;"",SUM(INDEX(PaymentSchedule[INTEREST],1,1):PaymentSchedule[[#This Row],[INTEREST]]),"")</f>
        <v>160399.98952519987</v>
      </c>
    </row>
    <row r="354" spans="2:11" x14ac:dyDescent="0.2">
      <c r="B354" s="4">
        <f>IF(LoanIsGood,IF(ROW()-ROW(PaymentSchedule[[#Headers],[PMT NO]])&gt;ScheduledNumberOfPayments,"",ROW()-ROW(PaymentSchedule[[#Headers],[PMT NO]])),"")</f>
        <v>328</v>
      </c>
      <c r="C354" s="5">
        <f>IF(PaymentSchedule[[#This Row],[PMT NO]]&lt;&gt;"",EOMONTH(LoanStartDate,ROW(PaymentSchedule[[#This Row],[PMT NO]])-ROW(PaymentSchedule[[#Headers],[PMT NO]])-2)+DAY(LoanStartDate),"")</f>
        <v>56005</v>
      </c>
      <c r="D354" s="6">
        <f>IF(PaymentSchedule[[#This Row],[PMT NO]]&lt;&gt;"",IF(ROW()-ROW(PaymentSchedule[[#Headers],[BEGINNING BALANCE]])=1,LoanAmount,INDEX(PaymentSchedule[ENDING BALANCE],ROW()-ROW(PaymentSchedule[[#Headers],[BEGINNING BALANCE]])-1)),"")</f>
        <v>26765.129845483705</v>
      </c>
      <c r="E354" s="6">
        <f>IF(PaymentSchedule[[#This Row],[PMT NO]]&lt;&gt;"",ScheduledPayment,"")</f>
        <v>839.37073521385321</v>
      </c>
      <c r="F354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354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354" s="6">
        <f>IF(PaymentSchedule[[#This Row],[PMT NO]]&lt;&gt;"",PaymentSchedule[[#This Row],[TOTAL PAYMENT]]-PaymentSchedule[[#This Row],[INTEREST]],"")</f>
        <v>705.54508598643474</v>
      </c>
      <c r="I354" s="6">
        <f>IF(PaymentSchedule[[#This Row],[PMT NO]]&lt;&gt;"",PaymentSchedule[[#This Row],[BEGINNING BALANCE]]*(InterestRate/PaymentsPerYear),"")</f>
        <v>133.82564922741852</v>
      </c>
      <c r="J354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26059.584759497269</v>
      </c>
      <c r="K354" s="6">
        <f>IF(PaymentSchedule[[#This Row],[PMT NO]]&lt;&gt;"",SUM(INDEX(PaymentSchedule[INTEREST],1,1):PaymentSchedule[[#This Row],[INTEREST]]),"")</f>
        <v>160533.81517442729</v>
      </c>
    </row>
    <row r="355" spans="2:11" x14ac:dyDescent="0.2">
      <c r="B355" s="4">
        <f>IF(LoanIsGood,IF(ROW()-ROW(PaymentSchedule[[#Headers],[PMT NO]])&gt;ScheduledNumberOfPayments,"",ROW()-ROW(PaymentSchedule[[#Headers],[PMT NO]])),"")</f>
        <v>329</v>
      </c>
      <c r="C355" s="5">
        <f>IF(PaymentSchedule[[#This Row],[PMT NO]]&lt;&gt;"",EOMONTH(LoanStartDate,ROW(PaymentSchedule[[#This Row],[PMT NO]])-ROW(PaymentSchedule[[#Headers],[PMT NO]])-2)+DAY(LoanStartDate),"")</f>
        <v>56036</v>
      </c>
      <c r="D355" s="6">
        <f>IF(PaymentSchedule[[#This Row],[PMT NO]]&lt;&gt;"",IF(ROW()-ROW(PaymentSchedule[[#Headers],[BEGINNING BALANCE]])=1,LoanAmount,INDEX(PaymentSchedule[ENDING BALANCE],ROW()-ROW(PaymentSchedule[[#Headers],[BEGINNING BALANCE]])-1)),"")</f>
        <v>26059.584759497269</v>
      </c>
      <c r="E355" s="6">
        <f>IF(PaymentSchedule[[#This Row],[PMT NO]]&lt;&gt;"",ScheduledPayment,"")</f>
        <v>839.37073521385321</v>
      </c>
      <c r="F355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355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355" s="6">
        <f>IF(PaymentSchedule[[#This Row],[PMT NO]]&lt;&gt;"",PaymentSchedule[[#This Row],[TOTAL PAYMENT]]-PaymentSchedule[[#This Row],[INTEREST]],"")</f>
        <v>709.0728114163669</v>
      </c>
      <c r="I355" s="6">
        <f>IF(PaymentSchedule[[#This Row],[PMT NO]]&lt;&gt;"",PaymentSchedule[[#This Row],[BEGINNING BALANCE]]*(InterestRate/PaymentsPerYear),"")</f>
        <v>130.29792379748636</v>
      </c>
      <c r="J355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25350.511948080901</v>
      </c>
      <c r="K355" s="6">
        <f>IF(PaymentSchedule[[#This Row],[PMT NO]]&lt;&gt;"",SUM(INDEX(PaymentSchedule[INTEREST],1,1):PaymentSchedule[[#This Row],[INTEREST]]),"")</f>
        <v>160664.11309822477</v>
      </c>
    </row>
    <row r="356" spans="2:11" x14ac:dyDescent="0.2">
      <c r="B356" s="4">
        <f>IF(LoanIsGood,IF(ROW()-ROW(PaymentSchedule[[#Headers],[PMT NO]])&gt;ScheduledNumberOfPayments,"",ROW()-ROW(PaymentSchedule[[#Headers],[PMT NO]])),"")</f>
        <v>330</v>
      </c>
      <c r="C356" s="5">
        <f>IF(PaymentSchedule[[#This Row],[PMT NO]]&lt;&gt;"",EOMONTH(LoanStartDate,ROW(PaymentSchedule[[#This Row],[PMT NO]])-ROW(PaymentSchedule[[#Headers],[PMT NO]])-2)+DAY(LoanStartDate),"")</f>
        <v>56066</v>
      </c>
      <c r="D356" s="6">
        <f>IF(PaymentSchedule[[#This Row],[PMT NO]]&lt;&gt;"",IF(ROW()-ROW(PaymentSchedule[[#Headers],[BEGINNING BALANCE]])=1,LoanAmount,INDEX(PaymentSchedule[ENDING BALANCE],ROW()-ROW(PaymentSchedule[[#Headers],[BEGINNING BALANCE]])-1)),"")</f>
        <v>25350.511948080901</v>
      </c>
      <c r="E356" s="6">
        <f>IF(PaymentSchedule[[#This Row],[PMT NO]]&lt;&gt;"",ScheduledPayment,"")</f>
        <v>839.37073521385321</v>
      </c>
      <c r="F356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356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356" s="6">
        <f>IF(PaymentSchedule[[#This Row],[PMT NO]]&lt;&gt;"",PaymentSchedule[[#This Row],[TOTAL PAYMENT]]-PaymentSchedule[[#This Row],[INTEREST]],"")</f>
        <v>712.61817547344867</v>
      </c>
      <c r="I356" s="6">
        <f>IF(PaymentSchedule[[#This Row],[PMT NO]]&lt;&gt;"",PaymentSchedule[[#This Row],[BEGINNING BALANCE]]*(InterestRate/PaymentsPerYear),"")</f>
        <v>126.75255974040451</v>
      </c>
      <c r="J356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24637.893772607451</v>
      </c>
      <c r="K356" s="6">
        <f>IF(PaymentSchedule[[#This Row],[PMT NO]]&lt;&gt;"",SUM(INDEX(PaymentSchedule[INTEREST],1,1):PaymentSchedule[[#This Row],[INTEREST]]),"")</f>
        <v>160790.86565796519</v>
      </c>
    </row>
    <row r="357" spans="2:11" x14ac:dyDescent="0.2">
      <c r="B357" s="4">
        <f>IF(LoanIsGood,IF(ROW()-ROW(PaymentSchedule[[#Headers],[PMT NO]])&gt;ScheduledNumberOfPayments,"",ROW()-ROW(PaymentSchedule[[#Headers],[PMT NO]])),"")</f>
        <v>331</v>
      </c>
      <c r="C357" s="5">
        <f>IF(PaymentSchedule[[#This Row],[PMT NO]]&lt;&gt;"",EOMONTH(LoanStartDate,ROW(PaymentSchedule[[#This Row],[PMT NO]])-ROW(PaymentSchedule[[#Headers],[PMT NO]])-2)+DAY(LoanStartDate),"")</f>
        <v>56097</v>
      </c>
      <c r="D357" s="6">
        <f>IF(PaymentSchedule[[#This Row],[PMT NO]]&lt;&gt;"",IF(ROW()-ROW(PaymentSchedule[[#Headers],[BEGINNING BALANCE]])=1,LoanAmount,INDEX(PaymentSchedule[ENDING BALANCE],ROW()-ROW(PaymentSchedule[[#Headers],[BEGINNING BALANCE]])-1)),"")</f>
        <v>24637.893772607451</v>
      </c>
      <c r="E357" s="6">
        <f>IF(PaymentSchedule[[#This Row],[PMT NO]]&lt;&gt;"",ScheduledPayment,"")</f>
        <v>839.37073521385321</v>
      </c>
      <c r="F357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357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357" s="6">
        <f>IF(PaymentSchedule[[#This Row],[PMT NO]]&lt;&gt;"",PaymentSchedule[[#This Row],[TOTAL PAYMENT]]-PaymentSchedule[[#This Row],[INTEREST]],"")</f>
        <v>716.18126635081592</v>
      </c>
      <c r="I357" s="6">
        <f>IF(PaymentSchedule[[#This Row],[PMT NO]]&lt;&gt;"",PaymentSchedule[[#This Row],[BEGINNING BALANCE]]*(InterestRate/PaymentsPerYear),"")</f>
        <v>123.18946886303726</v>
      </c>
      <c r="J357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23921.712506256634</v>
      </c>
      <c r="K357" s="6">
        <f>IF(PaymentSchedule[[#This Row],[PMT NO]]&lt;&gt;"",SUM(INDEX(PaymentSchedule[INTEREST],1,1):PaymentSchedule[[#This Row],[INTEREST]]),"")</f>
        <v>160914.05512682823</v>
      </c>
    </row>
    <row r="358" spans="2:11" x14ac:dyDescent="0.2">
      <c r="B358" s="4">
        <f>IF(LoanIsGood,IF(ROW()-ROW(PaymentSchedule[[#Headers],[PMT NO]])&gt;ScheduledNumberOfPayments,"",ROW()-ROW(PaymentSchedule[[#Headers],[PMT NO]])),"")</f>
        <v>332</v>
      </c>
      <c r="C358" s="5">
        <f>IF(PaymentSchedule[[#This Row],[PMT NO]]&lt;&gt;"",EOMONTH(LoanStartDate,ROW(PaymentSchedule[[#This Row],[PMT NO]])-ROW(PaymentSchedule[[#Headers],[PMT NO]])-2)+DAY(LoanStartDate),"")</f>
        <v>56128</v>
      </c>
      <c r="D358" s="6">
        <f>IF(PaymentSchedule[[#This Row],[PMT NO]]&lt;&gt;"",IF(ROW()-ROW(PaymentSchedule[[#Headers],[BEGINNING BALANCE]])=1,LoanAmount,INDEX(PaymentSchedule[ENDING BALANCE],ROW()-ROW(PaymentSchedule[[#Headers],[BEGINNING BALANCE]])-1)),"")</f>
        <v>23921.712506256634</v>
      </c>
      <c r="E358" s="6">
        <f>IF(PaymentSchedule[[#This Row],[PMT NO]]&lt;&gt;"",ScheduledPayment,"")</f>
        <v>839.37073521385321</v>
      </c>
      <c r="F358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358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358" s="6">
        <f>IF(PaymentSchedule[[#This Row],[PMT NO]]&lt;&gt;"",PaymentSchedule[[#This Row],[TOTAL PAYMENT]]-PaymentSchedule[[#This Row],[INTEREST]],"")</f>
        <v>719.76217268257005</v>
      </c>
      <c r="I358" s="6">
        <f>IF(PaymentSchedule[[#This Row],[PMT NO]]&lt;&gt;"",PaymentSchedule[[#This Row],[BEGINNING BALANCE]]*(InterestRate/PaymentsPerYear),"")</f>
        <v>119.60856253128317</v>
      </c>
      <c r="J358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23201.950333574063</v>
      </c>
      <c r="K358" s="6">
        <f>IF(PaymentSchedule[[#This Row],[PMT NO]]&lt;&gt;"",SUM(INDEX(PaymentSchedule[INTEREST],1,1):PaymentSchedule[[#This Row],[INTEREST]]),"")</f>
        <v>161033.6636893595</v>
      </c>
    </row>
    <row r="359" spans="2:11" x14ac:dyDescent="0.2">
      <c r="B359" s="4">
        <f>IF(LoanIsGood,IF(ROW()-ROW(PaymentSchedule[[#Headers],[PMT NO]])&gt;ScheduledNumberOfPayments,"",ROW()-ROW(PaymentSchedule[[#Headers],[PMT NO]])),"")</f>
        <v>333</v>
      </c>
      <c r="C359" s="5">
        <f>IF(PaymentSchedule[[#This Row],[PMT NO]]&lt;&gt;"",EOMONTH(LoanStartDate,ROW(PaymentSchedule[[#This Row],[PMT NO]])-ROW(PaymentSchedule[[#Headers],[PMT NO]])-2)+DAY(LoanStartDate),"")</f>
        <v>56158</v>
      </c>
      <c r="D359" s="6">
        <f>IF(PaymentSchedule[[#This Row],[PMT NO]]&lt;&gt;"",IF(ROW()-ROW(PaymentSchedule[[#Headers],[BEGINNING BALANCE]])=1,LoanAmount,INDEX(PaymentSchedule[ENDING BALANCE],ROW()-ROW(PaymentSchedule[[#Headers],[BEGINNING BALANCE]])-1)),"")</f>
        <v>23201.950333574063</v>
      </c>
      <c r="E359" s="6">
        <f>IF(PaymentSchedule[[#This Row],[PMT NO]]&lt;&gt;"",ScheduledPayment,"")</f>
        <v>839.37073521385321</v>
      </c>
      <c r="F359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359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359" s="6">
        <f>IF(PaymentSchedule[[#This Row],[PMT NO]]&lt;&gt;"",PaymentSchedule[[#This Row],[TOTAL PAYMENT]]-PaymentSchedule[[#This Row],[INTEREST]],"")</f>
        <v>723.36098354598289</v>
      </c>
      <c r="I359" s="6">
        <f>IF(PaymentSchedule[[#This Row],[PMT NO]]&lt;&gt;"",PaymentSchedule[[#This Row],[BEGINNING BALANCE]]*(InterestRate/PaymentsPerYear),"")</f>
        <v>116.00975166787032</v>
      </c>
      <c r="J359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22478.58935002808</v>
      </c>
      <c r="K359" s="6">
        <f>IF(PaymentSchedule[[#This Row],[PMT NO]]&lt;&gt;"",SUM(INDEX(PaymentSchedule[INTEREST],1,1):PaymentSchedule[[#This Row],[INTEREST]]),"")</f>
        <v>161149.67344102738</v>
      </c>
    </row>
    <row r="360" spans="2:11" x14ac:dyDescent="0.2">
      <c r="B360" s="4">
        <f>IF(LoanIsGood,IF(ROW()-ROW(PaymentSchedule[[#Headers],[PMT NO]])&gt;ScheduledNumberOfPayments,"",ROW()-ROW(PaymentSchedule[[#Headers],[PMT NO]])),"")</f>
        <v>334</v>
      </c>
      <c r="C360" s="5">
        <f>IF(PaymentSchedule[[#This Row],[PMT NO]]&lt;&gt;"",EOMONTH(LoanStartDate,ROW(PaymentSchedule[[#This Row],[PMT NO]])-ROW(PaymentSchedule[[#Headers],[PMT NO]])-2)+DAY(LoanStartDate),"")</f>
        <v>56189</v>
      </c>
      <c r="D360" s="6">
        <f>IF(PaymentSchedule[[#This Row],[PMT NO]]&lt;&gt;"",IF(ROW()-ROW(PaymentSchedule[[#Headers],[BEGINNING BALANCE]])=1,LoanAmount,INDEX(PaymentSchedule[ENDING BALANCE],ROW()-ROW(PaymentSchedule[[#Headers],[BEGINNING BALANCE]])-1)),"")</f>
        <v>22478.58935002808</v>
      </c>
      <c r="E360" s="6">
        <f>IF(PaymentSchedule[[#This Row],[PMT NO]]&lt;&gt;"",ScheduledPayment,"")</f>
        <v>839.37073521385321</v>
      </c>
      <c r="F360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360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360" s="6">
        <f>IF(PaymentSchedule[[#This Row],[PMT NO]]&lt;&gt;"",PaymentSchedule[[#This Row],[TOTAL PAYMENT]]-PaymentSchedule[[#This Row],[INTEREST]],"")</f>
        <v>726.97778846371284</v>
      </c>
      <c r="I360" s="6">
        <f>IF(PaymentSchedule[[#This Row],[PMT NO]]&lt;&gt;"",PaymentSchedule[[#This Row],[BEGINNING BALANCE]]*(InterestRate/PaymentsPerYear),"")</f>
        <v>112.3929467501404</v>
      </c>
      <c r="J360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21751.611561564368</v>
      </c>
      <c r="K360" s="6">
        <f>IF(PaymentSchedule[[#This Row],[PMT NO]]&lt;&gt;"",SUM(INDEX(PaymentSchedule[INTEREST],1,1):PaymentSchedule[[#This Row],[INTEREST]]),"")</f>
        <v>161262.06638777751</v>
      </c>
    </row>
    <row r="361" spans="2:11" x14ac:dyDescent="0.2">
      <c r="B361" s="4">
        <f>IF(LoanIsGood,IF(ROW()-ROW(PaymentSchedule[[#Headers],[PMT NO]])&gt;ScheduledNumberOfPayments,"",ROW()-ROW(PaymentSchedule[[#Headers],[PMT NO]])),"")</f>
        <v>335</v>
      </c>
      <c r="C361" s="5">
        <f>IF(PaymentSchedule[[#This Row],[PMT NO]]&lt;&gt;"",EOMONTH(LoanStartDate,ROW(PaymentSchedule[[#This Row],[PMT NO]])-ROW(PaymentSchedule[[#Headers],[PMT NO]])-2)+DAY(LoanStartDate),"")</f>
        <v>56219</v>
      </c>
      <c r="D361" s="6">
        <f>IF(PaymentSchedule[[#This Row],[PMT NO]]&lt;&gt;"",IF(ROW()-ROW(PaymentSchedule[[#Headers],[BEGINNING BALANCE]])=1,LoanAmount,INDEX(PaymentSchedule[ENDING BALANCE],ROW()-ROW(PaymentSchedule[[#Headers],[BEGINNING BALANCE]])-1)),"")</f>
        <v>21751.611561564368</v>
      </c>
      <c r="E361" s="6">
        <f>IF(PaymentSchedule[[#This Row],[PMT NO]]&lt;&gt;"",ScheduledPayment,"")</f>
        <v>839.37073521385321</v>
      </c>
      <c r="F361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361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361" s="6">
        <f>IF(PaymentSchedule[[#This Row],[PMT NO]]&lt;&gt;"",PaymentSchedule[[#This Row],[TOTAL PAYMENT]]-PaymentSchedule[[#This Row],[INTEREST]],"")</f>
        <v>730.61267740603137</v>
      </c>
      <c r="I361" s="6">
        <f>IF(PaymentSchedule[[#This Row],[PMT NO]]&lt;&gt;"",PaymentSchedule[[#This Row],[BEGINNING BALANCE]]*(InterestRate/PaymentsPerYear),"")</f>
        <v>108.75805780782184</v>
      </c>
      <c r="J361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21020.998884158336</v>
      </c>
      <c r="K361" s="6">
        <f>IF(PaymentSchedule[[#This Row],[PMT NO]]&lt;&gt;"",SUM(INDEX(PaymentSchedule[INTEREST],1,1):PaymentSchedule[[#This Row],[INTEREST]]),"")</f>
        <v>161370.82444558534</v>
      </c>
    </row>
    <row r="362" spans="2:11" x14ac:dyDescent="0.2">
      <c r="B362" s="4">
        <f>IF(LoanIsGood,IF(ROW()-ROW(PaymentSchedule[[#Headers],[PMT NO]])&gt;ScheduledNumberOfPayments,"",ROW()-ROW(PaymentSchedule[[#Headers],[PMT NO]])),"")</f>
        <v>336</v>
      </c>
      <c r="C362" s="5">
        <f>IF(PaymentSchedule[[#This Row],[PMT NO]]&lt;&gt;"",EOMONTH(LoanStartDate,ROW(PaymentSchedule[[#This Row],[PMT NO]])-ROW(PaymentSchedule[[#Headers],[PMT NO]])-2)+DAY(LoanStartDate),"")</f>
        <v>56250</v>
      </c>
      <c r="D362" s="6">
        <f>IF(PaymentSchedule[[#This Row],[PMT NO]]&lt;&gt;"",IF(ROW()-ROW(PaymentSchedule[[#Headers],[BEGINNING BALANCE]])=1,LoanAmount,INDEX(PaymentSchedule[ENDING BALANCE],ROW()-ROW(PaymentSchedule[[#Headers],[BEGINNING BALANCE]])-1)),"")</f>
        <v>21020.998884158336</v>
      </c>
      <c r="E362" s="6">
        <f>IF(PaymentSchedule[[#This Row],[PMT NO]]&lt;&gt;"",ScheduledPayment,"")</f>
        <v>839.37073521385321</v>
      </c>
      <c r="F362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362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362" s="6">
        <f>IF(PaymentSchedule[[#This Row],[PMT NO]]&lt;&gt;"",PaymentSchedule[[#This Row],[TOTAL PAYMENT]]-PaymentSchedule[[#This Row],[INTEREST]],"")</f>
        <v>734.26574079306147</v>
      </c>
      <c r="I362" s="6">
        <f>IF(PaymentSchedule[[#This Row],[PMT NO]]&lt;&gt;"",PaymentSchedule[[#This Row],[BEGINNING BALANCE]]*(InterestRate/PaymentsPerYear),"")</f>
        <v>105.10499442079168</v>
      </c>
      <c r="J362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20286.733143365276</v>
      </c>
      <c r="K362" s="6">
        <f>IF(PaymentSchedule[[#This Row],[PMT NO]]&lt;&gt;"",SUM(INDEX(PaymentSchedule[INTEREST],1,1):PaymentSchedule[[#This Row],[INTEREST]]),"")</f>
        <v>161475.92944000615</v>
      </c>
    </row>
    <row r="363" spans="2:11" x14ac:dyDescent="0.2">
      <c r="B363" s="4">
        <f>IF(LoanIsGood,IF(ROW()-ROW(PaymentSchedule[[#Headers],[PMT NO]])&gt;ScheduledNumberOfPayments,"",ROW()-ROW(PaymentSchedule[[#Headers],[PMT NO]])),"")</f>
        <v>337</v>
      </c>
      <c r="C363" s="5">
        <f>IF(PaymentSchedule[[#This Row],[PMT NO]]&lt;&gt;"",EOMONTH(LoanStartDate,ROW(PaymentSchedule[[#This Row],[PMT NO]])-ROW(PaymentSchedule[[#Headers],[PMT NO]])-2)+DAY(LoanStartDate),"")</f>
        <v>56281</v>
      </c>
      <c r="D363" s="6">
        <f>IF(PaymentSchedule[[#This Row],[PMT NO]]&lt;&gt;"",IF(ROW()-ROW(PaymentSchedule[[#Headers],[BEGINNING BALANCE]])=1,LoanAmount,INDEX(PaymentSchedule[ENDING BALANCE],ROW()-ROW(PaymentSchedule[[#Headers],[BEGINNING BALANCE]])-1)),"")</f>
        <v>20286.733143365276</v>
      </c>
      <c r="E363" s="6">
        <f>IF(PaymentSchedule[[#This Row],[PMT NO]]&lt;&gt;"",ScheduledPayment,"")</f>
        <v>839.37073521385321</v>
      </c>
      <c r="F363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363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363" s="6">
        <f>IF(PaymentSchedule[[#This Row],[PMT NO]]&lt;&gt;"",PaymentSchedule[[#This Row],[TOTAL PAYMENT]]-PaymentSchedule[[#This Row],[INTEREST]],"")</f>
        <v>737.93706949702687</v>
      </c>
      <c r="I363" s="6">
        <f>IF(PaymentSchedule[[#This Row],[PMT NO]]&lt;&gt;"",PaymentSchedule[[#This Row],[BEGINNING BALANCE]]*(InterestRate/PaymentsPerYear),"")</f>
        <v>101.43366571682638</v>
      </c>
      <c r="J363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19548.796073868249</v>
      </c>
      <c r="K363" s="6">
        <f>IF(PaymentSchedule[[#This Row],[PMT NO]]&lt;&gt;"",SUM(INDEX(PaymentSchedule[INTEREST],1,1):PaymentSchedule[[#This Row],[INTEREST]]),"")</f>
        <v>161577.36310572296</v>
      </c>
    </row>
    <row r="364" spans="2:11" x14ac:dyDescent="0.2">
      <c r="B364" s="4">
        <f>IF(LoanIsGood,IF(ROW()-ROW(PaymentSchedule[[#Headers],[PMT NO]])&gt;ScheduledNumberOfPayments,"",ROW()-ROW(PaymentSchedule[[#Headers],[PMT NO]])),"")</f>
        <v>338</v>
      </c>
      <c r="C364" s="5">
        <f>IF(PaymentSchedule[[#This Row],[PMT NO]]&lt;&gt;"",EOMONTH(LoanStartDate,ROW(PaymentSchedule[[#This Row],[PMT NO]])-ROW(PaymentSchedule[[#Headers],[PMT NO]])-2)+DAY(LoanStartDate),"")</f>
        <v>56309</v>
      </c>
      <c r="D364" s="6">
        <f>IF(PaymentSchedule[[#This Row],[PMT NO]]&lt;&gt;"",IF(ROW()-ROW(PaymentSchedule[[#Headers],[BEGINNING BALANCE]])=1,LoanAmount,INDEX(PaymentSchedule[ENDING BALANCE],ROW()-ROW(PaymentSchedule[[#Headers],[BEGINNING BALANCE]])-1)),"")</f>
        <v>19548.796073868249</v>
      </c>
      <c r="E364" s="6">
        <f>IF(PaymentSchedule[[#This Row],[PMT NO]]&lt;&gt;"",ScheduledPayment,"")</f>
        <v>839.37073521385321</v>
      </c>
      <c r="F364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364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364" s="6">
        <f>IF(PaymentSchedule[[#This Row],[PMT NO]]&lt;&gt;"",PaymentSchedule[[#This Row],[TOTAL PAYMENT]]-PaymentSchedule[[#This Row],[INTEREST]],"")</f>
        <v>741.62675484451199</v>
      </c>
      <c r="I364" s="6">
        <f>IF(PaymentSchedule[[#This Row],[PMT NO]]&lt;&gt;"",PaymentSchedule[[#This Row],[BEGINNING BALANCE]]*(InterestRate/PaymentsPerYear),"")</f>
        <v>97.743980369341244</v>
      </c>
      <c r="J364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18807.169319023738</v>
      </c>
      <c r="K364" s="6">
        <f>IF(PaymentSchedule[[#This Row],[PMT NO]]&lt;&gt;"",SUM(INDEX(PaymentSchedule[INTEREST],1,1):PaymentSchedule[[#This Row],[INTEREST]]),"")</f>
        <v>161675.10708609229</v>
      </c>
    </row>
    <row r="365" spans="2:11" x14ac:dyDescent="0.2">
      <c r="B365" s="4">
        <f>IF(LoanIsGood,IF(ROW()-ROW(PaymentSchedule[[#Headers],[PMT NO]])&gt;ScheduledNumberOfPayments,"",ROW()-ROW(PaymentSchedule[[#Headers],[PMT NO]])),"")</f>
        <v>339</v>
      </c>
      <c r="C365" s="5">
        <f>IF(PaymentSchedule[[#This Row],[PMT NO]]&lt;&gt;"",EOMONTH(LoanStartDate,ROW(PaymentSchedule[[#This Row],[PMT NO]])-ROW(PaymentSchedule[[#Headers],[PMT NO]])-2)+DAY(LoanStartDate),"")</f>
        <v>56340</v>
      </c>
      <c r="D365" s="6">
        <f>IF(PaymentSchedule[[#This Row],[PMT NO]]&lt;&gt;"",IF(ROW()-ROW(PaymentSchedule[[#Headers],[BEGINNING BALANCE]])=1,LoanAmount,INDEX(PaymentSchedule[ENDING BALANCE],ROW()-ROW(PaymentSchedule[[#Headers],[BEGINNING BALANCE]])-1)),"")</f>
        <v>18807.169319023738</v>
      </c>
      <c r="E365" s="6">
        <f>IF(PaymentSchedule[[#This Row],[PMT NO]]&lt;&gt;"",ScheduledPayment,"")</f>
        <v>839.37073521385321</v>
      </c>
      <c r="F365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365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365" s="6">
        <f>IF(PaymentSchedule[[#This Row],[PMT NO]]&lt;&gt;"",PaymentSchedule[[#This Row],[TOTAL PAYMENT]]-PaymentSchedule[[#This Row],[INTEREST]],"")</f>
        <v>745.33488861873457</v>
      </c>
      <c r="I365" s="6">
        <f>IF(PaymentSchedule[[#This Row],[PMT NO]]&lt;&gt;"",PaymentSchedule[[#This Row],[BEGINNING BALANCE]]*(InterestRate/PaymentsPerYear),"")</f>
        <v>94.035846595118699</v>
      </c>
      <c r="J365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18061.834430405004</v>
      </c>
      <c r="K365" s="6">
        <f>IF(PaymentSchedule[[#This Row],[PMT NO]]&lt;&gt;"",SUM(INDEX(PaymentSchedule[INTEREST],1,1):PaymentSchedule[[#This Row],[INTEREST]]),"")</f>
        <v>161769.14293268742</v>
      </c>
    </row>
    <row r="366" spans="2:11" x14ac:dyDescent="0.2">
      <c r="B366" s="4">
        <f>IF(LoanIsGood,IF(ROW()-ROW(PaymentSchedule[[#Headers],[PMT NO]])&gt;ScheduledNumberOfPayments,"",ROW()-ROW(PaymentSchedule[[#Headers],[PMT NO]])),"")</f>
        <v>340</v>
      </c>
      <c r="C366" s="5">
        <f>IF(PaymentSchedule[[#This Row],[PMT NO]]&lt;&gt;"",EOMONTH(LoanStartDate,ROW(PaymentSchedule[[#This Row],[PMT NO]])-ROW(PaymentSchedule[[#Headers],[PMT NO]])-2)+DAY(LoanStartDate),"")</f>
        <v>56370</v>
      </c>
      <c r="D366" s="6">
        <f>IF(PaymentSchedule[[#This Row],[PMT NO]]&lt;&gt;"",IF(ROW()-ROW(PaymentSchedule[[#Headers],[BEGINNING BALANCE]])=1,LoanAmount,INDEX(PaymentSchedule[ENDING BALANCE],ROW()-ROW(PaymentSchedule[[#Headers],[BEGINNING BALANCE]])-1)),"")</f>
        <v>18061.834430405004</v>
      </c>
      <c r="E366" s="6">
        <f>IF(PaymentSchedule[[#This Row],[PMT NO]]&lt;&gt;"",ScheduledPayment,"")</f>
        <v>839.37073521385321</v>
      </c>
      <c r="F366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366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366" s="6">
        <f>IF(PaymentSchedule[[#This Row],[PMT NO]]&lt;&gt;"",PaymentSchedule[[#This Row],[TOTAL PAYMENT]]-PaymentSchedule[[#This Row],[INTEREST]],"")</f>
        <v>749.06156306182822</v>
      </c>
      <c r="I366" s="6">
        <f>IF(PaymentSchedule[[#This Row],[PMT NO]]&lt;&gt;"",PaymentSchedule[[#This Row],[BEGINNING BALANCE]]*(InterestRate/PaymentsPerYear),"")</f>
        <v>90.309172152025027</v>
      </c>
      <c r="J366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17312.772867343177</v>
      </c>
      <c r="K366" s="6">
        <f>IF(PaymentSchedule[[#This Row],[PMT NO]]&lt;&gt;"",SUM(INDEX(PaymentSchedule[INTEREST],1,1):PaymentSchedule[[#This Row],[INTEREST]]),"")</f>
        <v>161859.45210483944</v>
      </c>
    </row>
    <row r="367" spans="2:11" x14ac:dyDescent="0.2">
      <c r="B367" s="4">
        <f>IF(LoanIsGood,IF(ROW()-ROW(PaymentSchedule[[#Headers],[PMT NO]])&gt;ScheduledNumberOfPayments,"",ROW()-ROW(PaymentSchedule[[#Headers],[PMT NO]])),"")</f>
        <v>341</v>
      </c>
      <c r="C367" s="5">
        <f>IF(PaymentSchedule[[#This Row],[PMT NO]]&lt;&gt;"",EOMONTH(LoanStartDate,ROW(PaymentSchedule[[#This Row],[PMT NO]])-ROW(PaymentSchedule[[#Headers],[PMT NO]])-2)+DAY(LoanStartDate),"")</f>
        <v>56401</v>
      </c>
      <c r="D367" s="6">
        <f>IF(PaymentSchedule[[#This Row],[PMT NO]]&lt;&gt;"",IF(ROW()-ROW(PaymentSchedule[[#Headers],[BEGINNING BALANCE]])=1,LoanAmount,INDEX(PaymentSchedule[ENDING BALANCE],ROW()-ROW(PaymentSchedule[[#Headers],[BEGINNING BALANCE]])-1)),"")</f>
        <v>17312.772867343177</v>
      </c>
      <c r="E367" s="6">
        <f>IF(PaymentSchedule[[#This Row],[PMT NO]]&lt;&gt;"",ScheduledPayment,"")</f>
        <v>839.37073521385321</v>
      </c>
      <c r="F367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367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367" s="6">
        <f>IF(PaymentSchedule[[#This Row],[PMT NO]]&lt;&gt;"",PaymentSchedule[[#This Row],[TOTAL PAYMENT]]-PaymentSchedule[[#This Row],[INTEREST]],"")</f>
        <v>752.80687087713727</v>
      </c>
      <c r="I367" s="6">
        <f>IF(PaymentSchedule[[#This Row],[PMT NO]]&lt;&gt;"",PaymentSchedule[[#This Row],[BEGINNING BALANCE]]*(InterestRate/PaymentsPerYear),"")</f>
        <v>86.563864336715895</v>
      </c>
      <c r="J367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16559.965996466039</v>
      </c>
      <c r="K367" s="6">
        <f>IF(PaymentSchedule[[#This Row],[PMT NO]]&lt;&gt;"",SUM(INDEX(PaymentSchedule[INTEREST],1,1):PaymentSchedule[[#This Row],[INTEREST]]),"")</f>
        <v>161946.01596917617</v>
      </c>
    </row>
    <row r="368" spans="2:11" x14ac:dyDescent="0.2">
      <c r="B368" s="4">
        <f>IF(LoanIsGood,IF(ROW()-ROW(PaymentSchedule[[#Headers],[PMT NO]])&gt;ScheduledNumberOfPayments,"",ROW()-ROW(PaymentSchedule[[#Headers],[PMT NO]])),"")</f>
        <v>342</v>
      </c>
      <c r="C368" s="5">
        <f>IF(PaymentSchedule[[#This Row],[PMT NO]]&lt;&gt;"",EOMONTH(LoanStartDate,ROW(PaymentSchedule[[#This Row],[PMT NO]])-ROW(PaymentSchedule[[#Headers],[PMT NO]])-2)+DAY(LoanStartDate),"")</f>
        <v>56431</v>
      </c>
      <c r="D368" s="6">
        <f>IF(PaymentSchedule[[#This Row],[PMT NO]]&lt;&gt;"",IF(ROW()-ROW(PaymentSchedule[[#Headers],[BEGINNING BALANCE]])=1,LoanAmount,INDEX(PaymentSchedule[ENDING BALANCE],ROW()-ROW(PaymentSchedule[[#Headers],[BEGINNING BALANCE]])-1)),"")</f>
        <v>16559.965996466039</v>
      </c>
      <c r="E368" s="6">
        <f>IF(PaymentSchedule[[#This Row],[PMT NO]]&lt;&gt;"",ScheduledPayment,"")</f>
        <v>839.37073521385321</v>
      </c>
      <c r="F368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368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368" s="6">
        <f>IF(PaymentSchedule[[#This Row],[PMT NO]]&lt;&gt;"",PaymentSchedule[[#This Row],[TOTAL PAYMENT]]-PaymentSchedule[[#This Row],[INTEREST]],"")</f>
        <v>756.57090523152306</v>
      </c>
      <c r="I368" s="6">
        <f>IF(PaymentSchedule[[#This Row],[PMT NO]]&lt;&gt;"",PaymentSchedule[[#This Row],[BEGINNING BALANCE]]*(InterestRate/PaymentsPerYear),"")</f>
        <v>82.799829982330195</v>
      </c>
      <c r="J368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15803.395091234515</v>
      </c>
      <c r="K368" s="6">
        <f>IF(PaymentSchedule[[#This Row],[PMT NO]]&lt;&gt;"",SUM(INDEX(PaymentSchedule[INTEREST],1,1):PaymentSchedule[[#This Row],[INTEREST]]),"")</f>
        <v>162028.8157991585</v>
      </c>
    </row>
    <row r="369" spans="2:11" x14ac:dyDescent="0.2">
      <c r="B369" s="4">
        <f>IF(LoanIsGood,IF(ROW()-ROW(PaymentSchedule[[#Headers],[PMT NO]])&gt;ScheduledNumberOfPayments,"",ROW()-ROW(PaymentSchedule[[#Headers],[PMT NO]])),"")</f>
        <v>343</v>
      </c>
      <c r="C369" s="5">
        <f>IF(PaymentSchedule[[#This Row],[PMT NO]]&lt;&gt;"",EOMONTH(LoanStartDate,ROW(PaymentSchedule[[#This Row],[PMT NO]])-ROW(PaymentSchedule[[#Headers],[PMT NO]])-2)+DAY(LoanStartDate),"")</f>
        <v>56462</v>
      </c>
      <c r="D369" s="6">
        <f>IF(PaymentSchedule[[#This Row],[PMT NO]]&lt;&gt;"",IF(ROW()-ROW(PaymentSchedule[[#Headers],[BEGINNING BALANCE]])=1,LoanAmount,INDEX(PaymentSchedule[ENDING BALANCE],ROW()-ROW(PaymentSchedule[[#Headers],[BEGINNING BALANCE]])-1)),"")</f>
        <v>15803.395091234515</v>
      </c>
      <c r="E369" s="6">
        <f>IF(PaymentSchedule[[#This Row],[PMT NO]]&lt;&gt;"",ScheduledPayment,"")</f>
        <v>839.37073521385321</v>
      </c>
      <c r="F369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369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369" s="6">
        <f>IF(PaymentSchedule[[#This Row],[PMT NO]]&lt;&gt;"",PaymentSchedule[[#This Row],[TOTAL PAYMENT]]-PaymentSchedule[[#This Row],[INTEREST]],"")</f>
        <v>760.35375975768068</v>
      </c>
      <c r="I369" s="6">
        <f>IF(PaymentSchedule[[#This Row],[PMT NO]]&lt;&gt;"",PaymentSchedule[[#This Row],[BEGINNING BALANCE]]*(InterestRate/PaymentsPerYear),"")</f>
        <v>79.016975456172574</v>
      </c>
      <c r="J369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15043.041331476834</v>
      </c>
      <c r="K369" s="6">
        <f>IF(PaymentSchedule[[#This Row],[PMT NO]]&lt;&gt;"",SUM(INDEX(PaymentSchedule[INTEREST],1,1):PaymentSchedule[[#This Row],[INTEREST]]),"")</f>
        <v>162107.83277461468</v>
      </c>
    </row>
    <row r="370" spans="2:11" x14ac:dyDescent="0.2">
      <c r="B370" s="4">
        <f>IF(LoanIsGood,IF(ROW()-ROW(PaymentSchedule[[#Headers],[PMT NO]])&gt;ScheduledNumberOfPayments,"",ROW()-ROW(PaymentSchedule[[#Headers],[PMT NO]])),"")</f>
        <v>344</v>
      </c>
      <c r="C370" s="5">
        <f>IF(PaymentSchedule[[#This Row],[PMT NO]]&lt;&gt;"",EOMONTH(LoanStartDate,ROW(PaymentSchedule[[#This Row],[PMT NO]])-ROW(PaymentSchedule[[#Headers],[PMT NO]])-2)+DAY(LoanStartDate),"")</f>
        <v>56493</v>
      </c>
      <c r="D370" s="6">
        <f>IF(PaymentSchedule[[#This Row],[PMT NO]]&lt;&gt;"",IF(ROW()-ROW(PaymentSchedule[[#Headers],[BEGINNING BALANCE]])=1,LoanAmount,INDEX(PaymentSchedule[ENDING BALANCE],ROW()-ROW(PaymentSchedule[[#Headers],[BEGINNING BALANCE]])-1)),"")</f>
        <v>15043.041331476834</v>
      </c>
      <c r="E370" s="6">
        <f>IF(PaymentSchedule[[#This Row],[PMT NO]]&lt;&gt;"",ScheduledPayment,"")</f>
        <v>839.37073521385321</v>
      </c>
      <c r="F370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370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370" s="6">
        <f>IF(PaymentSchedule[[#This Row],[PMT NO]]&lt;&gt;"",PaymentSchedule[[#This Row],[TOTAL PAYMENT]]-PaymentSchedule[[#This Row],[INTEREST]],"")</f>
        <v>764.15552855646899</v>
      </c>
      <c r="I370" s="6">
        <f>IF(PaymentSchedule[[#This Row],[PMT NO]]&lt;&gt;"",PaymentSchedule[[#This Row],[BEGINNING BALANCE]]*(InterestRate/PaymentsPerYear),"")</f>
        <v>75.215206657384172</v>
      </c>
      <c r="J370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14278.885802920366</v>
      </c>
      <c r="K370" s="6">
        <f>IF(PaymentSchedule[[#This Row],[PMT NO]]&lt;&gt;"",SUM(INDEX(PaymentSchedule[INTEREST],1,1):PaymentSchedule[[#This Row],[INTEREST]]),"")</f>
        <v>162183.04798127207</v>
      </c>
    </row>
    <row r="371" spans="2:11" x14ac:dyDescent="0.2">
      <c r="B371" s="4">
        <f>IF(LoanIsGood,IF(ROW()-ROW(PaymentSchedule[[#Headers],[PMT NO]])&gt;ScheduledNumberOfPayments,"",ROW()-ROW(PaymentSchedule[[#Headers],[PMT NO]])),"")</f>
        <v>345</v>
      </c>
      <c r="C371" s="5">
        <f>IF(PaymentSchedule[[#This Row],[PMT NO]]&lt;&gt;"",EOMONTH(LoanStartDate,ROW(PaymentSchedule[[#This Row],[PMT NO]])-ROW(PaymentSchedule[[#Headers],[PMT NO]])-2)+DAY(LoanStartDate),"")</f>
        <v>56523</v>
      </c>
      <c r="D371" s="6">
        <f>IF(PaymentSchedule[[#This Row],[PMT NO]]&lt;&gt;"",IF(ROW()-ROW(PaymentSchedule[[#Headers],[BEGINNING BALANCE]])=1,LoanAmount,INDEX(PaymentSchedule[ENDING BALANCE],ROW()-ROW(PaymentSchedule[[#Headers],[BEGINNING BALANCE]])-1)),"")</f>
        <v>14278.885802920366</v>
      </c>
      <c r="E371" s="6">
        <f>IF(PaymentSchedule[[#This Row],[PMT NO]]&lt;&gt;"",ScheduledPayment,"")</f>
        <v>839.37073521385321</v>
      </c>
      <c r="F371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371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371" s="6">
        <f>IF(PaymentSchedule[[#This Row],[PMT NO]]&lt;&gt;"",PaymentSchedule[[#This Row],[TOTAL PAYMENT]]-PaymentSchedule[[#This Row],[INTEREST]],"")</f>
        <v>767.97630619925144</v>
      </c>
      <c r="I371" s="6">
        <f>IF(PaymentSchedule[[#This Row],[PMT NO]]&lt;&gt;"",PaymentSchedule[[#This Row],[BEGINNING BALANCE]]*(InterestRate/PaymentsPerYear),"")</f>
        <v>71.394429014601826</v>
      </c>
      <c r="J371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13510.909496721115</v>
      </c>
      <c r="K371" s="6">
        <f>IF(PaymentSchedule[[#This Row],[PMT NO]]&lt;&gt;"",SUM(INDEX(PaymentSchedule[INTEREST],1,1):PaymentSchedule[[#This Row],[INTEREST]]),"")</f>
        <v>162254.44241028666</v>
      </c>
    </row>
    <row r="372" spans="2:11" x14ac:dyDescent="0.2">
      <c r="B372" s="4">
        <f>IF(LoanIsGood,IF(ROW()-ROW(PaymentSchedule[[#Headers],[PMT NO]])&gt;ScheduledNumberOfPayments,"",ROW()-ROW(PaymentSchedule[[#Headers],[PMT NO]])),"")</f>
        <v>346</v>
      </c>
      <c r="C372" s="5">
        <f>IF(PaymentSchedule[[#This Row],[PMT NO]]&lt;&gt;"",EOMONTH(LoanStartDate,ROW(PaymentSchedule[[#This Row],[PMT NO]])-ROW(PaymentSchedule[[#Headers],[PMT NO]])-2)+DAY(LoanStartDate),"")</f>
        <v>56554</v>
      </c>
      <c r="D372" s="6">
        <f>IF(PaymentSchedule[[#This Row],[PMT NO]]&lt;&gt;"",IF(ROW()-ROW(PaymentSchedule[[#Headers],[BEGINNING BALANCE]])=1,LoanAmount,INDEX(PaymentSchedule[ENDING BALANCE],ROW()-ROW(PaymentSchedule[[#Headers],[BEGINNING BALANCE]])-1)),"")</f>
        <v>13510.909496721115</v>
      </c>
      <c r="E372" s="6">
        <f>IF(PaymentSchedule[[#This Row],[PMT NO]]&lt;&gt;"",ScheduledPayment,"")</f>
        <v>839.37073521385321</v>
      </c>
      <c r="F372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372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372" s="6">
        <f>IF(PaymentSchedule[[#This Row],[PMT NO]]&lt;&gt;"",PaymentSchedule[[#This Row],[TOTAL PAYMENT]]-PaymentSchedule[[#This Row],[INTEREST]],"")</f>
        <v>771.81618773024763</v>
      </c>
      <c r="I372" s="6">
        <f>IF(PaymentSchedule[[#This Row],[PMT NO]]&lt;&gt;"",PaymentSchedule[[#This Row],[BEGINNING BALANCE]]*(InterestRate/PaymentsPerYear),"")</f>
        <v>67.554547483605575</v>
      </c>
      <c r="J372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12739.093308990867</v>
      </c>
      <c r="K372" s="6">
        <f>IF(PaymentSchedule[[#This Row],[PMT NO]]&lt;&gt;"",SUM(INDEX(PaymentSchedule[INTEREST],1,1):PaymentSchedule[[#This Row],[INTEREST]]),"")</f>
        <v>162321.99695777026</v>
      </c>
    </row>
    <row r="373" spans="2:11" x14ac:dyDescent="0.2">
      <c r="B373" s="4">
        <f>IF(LoanIsGood,IF(ROW()-ROW(PaymentSchedule[[#Headers],[PMT NO]])&gt;ScheduledNumberOfPayments,"",ROW()-ROW(PaymentSchedule[[#Headers],[PMT NO]])),"")</f>
        <v>347</v>
      </c>
      <c r="C373" s="5">
        <f>IF(PaymentSchedule[[#This Row],[PMT NO]]&lt;&gt;"",EOMONTH(LoanStartDate,ROW(PaymentSchedule[[#This Row],[PMT NO]])-ROW(PaymentSchedule[[#Headers],[PMT NO]])-2)+DAY(LoanStartDate),"")</f>
        <v>56584</v>
      </c>
      <c r="D373" s="6">
        <f>IF(PaymentSchedule[[#This Row],[PMT NO]]&lt;&gt;"",IF(ROW()-ROW(PaymentSchedule[[#Headers],[BEGINNING BALANCE]])=1,LoanAmount,INDEX(PaymentSchedule[ENDING BALANCE],ROW()-ROW(PaymentSchedule[[#Headers],[BEGINNING BALANCE]])-1)),"")</f>
        <v>12739.093308990867</v>
      </c>
      <c r="E373" s="6">
        <f>IF(PaymentSchedule[[#This Row],[PMT NO]]&lt;&gt;"",ScheduledPayment,"")</f>
        <v>839.37073521385321</v>
      </c>
      <c r="F373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373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373" s="6">
        <f>IF(PaymentSchedule[[#This Row],[PMT NO]]&lt;&gt;"",PaymentSchedule[[#This Row],[TOTAL PAYMENT]]-PaymentSchedule[[#This Row],[INTEREST]],"")</f>
        <v>775.67526866889887</v>
      </c>
      <c r="I373" s="6">
        <f>IF(PaymentSchedule[[#This Row],[PMT NO]]&lt;&gt;"",PaymentSchedule[[#This Row],[BEGINNING BALANCE]]*(InterestRate/PaymentsPerYear),"")</f>
        <v>63.695466544954336</v>
      </c>
      <c r="J373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11963.418040321967</v>
      </c>
      <c r="K373" s="6">
        <f>IF(PaymentSchedule[[#This Row],[PMT NO]]&lt;&gt;"",SUM(INDEX(PaymentSchedule[INTEREST],1,1):PaymentSchedule[[#This Row],[INTEREST]]),"")</f>
        <v>162385.6924243152</v>
      </c>
    </row>
    <row r="374" spans="2:11" x14ac:dyDescent="0.2">
      <c r="B374" s="4">
        <f>IF(LoanIsGood,IF(ROW()-ROW(PaymentSchedule[[#Headers],[PMT NO]])&gt;ScheduledNumberOfPayments,"",ROW()-ROW(PaymentSchedule[[#Headers],[PMT NO]])),"")</f>
        <v>348</v>
      </c>
      <c r="C374" s="5">
        <f>IF(PaymentSchedule[[#This Row],[PMT NO]]&lt;&gt;"",EOMONTH(LoanStartDate,ROW(PaymentSchedule[[#This Row],[PMT NO]])-ROW(PaymentSchedule[[#Headers],[PMT NO]])-2)+DAY(LoanStartDate),"")</f>
        <v>56615</v>
      </c>
      <c r="D374" s="6">
        <f>IF(PaymentSchedule[[#This Row],[PMT NO]]&lt;&gt;"",IF(ROW()-ROW(PaymentSchedule[[#Headers],[BEGINNING BALANCE]])=1,LoanAmount,INDEX(PaymentSchedule[ENDING BALANCE],ROW()-ROW(PaymentSchedule[[#Headers],[BEGINNING BALANCE]])-1)),"")</f>
        <v>11963.418040321967</v>
      </c>
      <c r="E374" s="6">
        <f>IF(PaymentSchedule[[#This Row],[PMT NO]]&lt;&gt;"",ScheduledPayment,"")</f>
        <v>839.37073521385321</v>
      </c>
      <c r="F374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374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374" s="6">
        <f>IF(PaymentSchedule[[#This Row],[PMT NO]]&lt;&gt;"",PaymentSchedule[[#This Row],[TOTAL PAYMENT]]-PaymentSchedule[[#This Row],[INTEREST]],"")</f>
        <v>779.55364501224335</v>
      </c>
      <c r="I374" s="6">
        <f>IF(PaymentSchedule[[#This Row],[PMT NO]]&lt;&gt;"",PaymentSchedule[[#This Row],[BEGINNING BALANCE]]*(InterestRate/PaymentsPerYear),"")</f>
        <v>59.817090201609837</v>
      </c>
      <c r="J374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11183.864395309723</v>
      </c>
      <c r="K374" s="6">
        <f>IF(PaymentSchedule[[#This Row],[PMT NO]]&lt;&gt;"",SUM(INDEX(PaymentSchedule[INTEREST],1,1):PaymentSchedule[[#This Row],[INTEREST]]),"")</f>
        <v>162445.5095145168</v>
      </c>
    </row>
    <row r="375" spans="2:11" x14ac:dyDescent="0.2">
      <c r="B375" s="4">
        <f>IF(LoanIsGood,IF(ROW()-ROW(PaymentSchedule[[#Headers],[PMT NO]])&gt;ScheduledNumberOfPayments,"",ROW()-ROW(PaymentSchedule[[#Headers],[PMT NO]])),"")</f>
        <v>349</v>
      </c>
      <c r="C375" s="5">
        <f>IF(PaymentSchedule[[#This Row],[PMT NO]]&lt;&gt;"",EOMONTH(LoanStartDate,ROW(PaymentSchedule[[#This Row],[PMT NO]])-ROW(PaymentSchedule[[#Headers],[PMT NO]])-2)+DAY(LoanStartDate),"")</f>
        <v>56646</v>
      </c>
      <c r="D375" s="6">
        <f>IF(PaymentSchedule[[#This Row],[PMT NO]]&lt;&gt;"",IF(ROW()-ROW(PaymentSchedule[[#Headers],[BEGINNING BALANCE]])=1,LoanAmount,INDEX(PaymentSchedule[ENDING BALANCE],ROW()-ROW(PaymentSchedule[[#Headers],[BEGINNING BALANCE]])-1)),"")</f>
        <v>11183.864395309723</v>
      </c>
      <c r="E375" s="6">
        <f>IF(PaymentSchedule[[#This Row],[PMT NO]]&lt;&gt;"",ScheduledPayment,"")</f>
        <v>839.37073521385321</v>
      </c>
      <c r="F375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375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375" s="6">
        <f>IF(PaymentSchedule[[#This Row],[PMT NO]]&lt;&gt;"",PaymentSchedule[[#This Row],[TOTAL PAYMENT]]-PaymentSchedule[[#This Row],[INTEREST]],"")</f>
        <v>783.45141323730456</v>
      </c>
      <c r="I375" s="6">
        <f>IF(PaymentSchedule[[#This Row],[PMT NO]]&lt;&gt;"",PaymentSchedule[[#This Row],[BEGINNING BALANCE]]*(InterestRate/PaymentsPerYear),"")</f>
        <v>55.919321976548616</v>
      </c>
      <c r="J375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10400.412982072419</v>
      </c>
      <c r="K375" s="6">
        <f>IF(PaymentSchedule[[#This Row],[PMT NO]]&lt;&gt;"",SUM(INDEX(PaymentSchedule[INTEREST],1,1):PaymentSchedule[[#This Row],[INTEREST]]),"")</f>
        <v>162501.42883649335</v>
      </c>
    </row>
    <row r="376" spans="2:11" x14ac:dyDescent="0.2">
      <c r="B376" s="4">
        <f>IF(LoanIsGood,IF(ROW()-ROW(PaymentSchedule[[#Headers],[PMT NO]])&gt;ScheduledNumberOfPayments,"",ROW()-ROW(PaymentSchedule[[#Headers],[PMT NO]])),"")</f>
        <v>350</v>
      </c>
      <c r="C376" s="5">
        <f>IF(PaymentSchedule[[#This Row],[PMT NO]]&lt;&gt;"",EOMONTH(LoanStartDate,ROW(PaymentSchedule[[#This Row],[PMT NO]])-ROW(PaymentSchedule[[#Headers],[PMT NO]])-2)+DAY(LoanStartDate),"")</f>
        <v>56674</v>
      </c>
      <c r="D376" s="6">
        <f>IF(PaymentSchedule[[#This Row],[PMT NO]]&lt;&gt;"",IF(ROW()-ROW(PaymentSchedule[[#Headers],[BEGINNING BALANCE]])=1,LoanAmount,INDEX(PaymentSchedule[ENDING BALANCE],ROW()-ROW(PaymentSchedule[[#Headers],[BEGINNING BALANCE]])-1)),"")</f>
        <v>10400.412982072419</v>
      </c>
      <c r="E376" s="6">
        <f>IF(PaymentSchedule[[#This Row],[PMT NO]]&lt;&gt;"",ScheduledPayment,"")</f>
        <v>839.37073521385321</v>
      </c>
      <c r="F376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376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376" s="6">
        <f>IF(PaymentSchedule[[#This Row],[PMT NO]]&lt;&gt;"",PaymentSchedule[[#This Row],[TOTAL PAYMENT]]-PaymentSchedule[[#This Row],[INTEREST]],"")</f>
        <v>787.36867030349117</v>
      </c>
      <c r="I376" s="6">
        <f>IF(PaymentSchedule[[#This Row],[PMT NO]]&lt;&gt;"",PaymentSchedule[[#This Row],[BEGINNING BALANCE]]*(InterestRate/PaymentsPerYear),"")</f>
        <v>52.002064910362094</v>
      </c>
      <c r="J376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9613.0443117689283</v>
      </c>
      <c r="K376" s="6">
        <f>IF(PaymentSchedule[[#This Row],[PMT NO]]&lt;&gt;"",SUM(INDEX(PaymentSchedule[INTEREST],1,1):PaymentSchedule[[#This Row],[INTEREST]]),"")</f>
        <v>162553.43090140371</v>
      </c>
    </row>
    <row r="377" spans="2:11" x14ac:dyDescent="0.2">
      <c r="B377" s="4">
        <f>IF(LoanIsGood,IF(ROW()-ROW(PaymentSchedule[[#Headers],[PMT NO]])&gt;ScheduledNumberOfPayments,"",ROW()-ROW(PaymentSchedule[[#Headers],[PMT NO]])),"")</f>
        <v>351</v>
      </c>
      <c r="C377" s="5">
        <f>IF(PaymentSchedule[[#This Row],[PMT NO]]&lt;&gt;"",EOMONTH(LoanStartDate,ROW(PaymentSchedule[[#This Row],[PMT NO]])-ROW(PaymentSchedule[[#Headers],[PMT NO]])-2)+DAY(LoanStartDate),"")</f>
        <v>56705</v>
      </c>
      <c r="D377" s="6">
        <f>IF(PaymentSchedule[[#This Row],[PMT NO]]&lt;&gt;"",IF(ROW()-ROW(PaymentSchedule[[#Headers],[BEGINNING BALANCE]])=1,LoanAmount,INDEX(PaymentSchedule[ENDING BALANCE],ROW()-ROW(PaymentSchedule[[#Headers],[BEGINNING BALANCE]])-1)),"")</f>
        <v>9613.0443117689283</v>
      </c>
      <c r="E377" s="6">
        <f>IF(PaymentSchedule[[#This Row],[PMT NO]]&lt;&gt;"",ScheduledPayment,"")</f>
        <v>839.37073521385321</v>
      </c>
      <c r="F377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377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377" s="6">
        <f>IF(PaymentSchedule[[#This Row],[PMT NO]]&lt;&gt;"",PaymentSchedule[[#This Row],[TOTAL PAYMENT]]-PaymentSchedule[[#This Row],[INTEREST]],"")</f>
        <v>791.30551365500855</v>
      </c>
      <c r="I377" s="6">
        <f>IF(PaymentSchedule[[#This Row],[PMT NO]]&lt;&gt;"",PaymentSchedule[[#This Row],[BEGINNING BALANCE]]*(InterestRate/PaymentsPerYear),"")</f>
        <v>48.065221558844641</v>
      </c>
      <c r="J377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8821.73879811392</v>
      </c>
      <c r="K377" s="6">
        <f>IF(PaymentSchedule[[#This Row],[PMT NO]]&lt;&gt;"",SUM(INDEX(PaymentSchedule[INTEREST],1,1):PaymentSchedule[[#This Row],[INTEREST]]),"")</f>
        <v>162601.49612296256</v>
      </c>
    </row>
    <row r="378" spans="2:11" x14ac:dyDescent="0.2">
      <c r="B378" s="4">
        <f>IF(LoanIsGood,IF(ROW()-ROW(PaymentSchedule[[#Headers],[PMT NO]])&gt;ScheduledNumberOfPayments,"",ROW()-ROW(PaymentSchedule[[#Headers],[PMT NO]])),"")</f>
        <v>352</v>
      </c>
      <c r="C378" s="5">
        <f>IF(PaymentSchedule[[#This Row],[PMT NO]]&lt;&gt;"",EOMONTH(LoanStartDate,ROW(PaymentSchedule[[#This Row],[PMT NO]])-ROW(PaymentSchedule[[#Headers],[PMT NO]])-2)+DAY(LoanStartDate),"")</f>
        <v>56735</v>
      </c>
      <c r="D378" s="6">
        <f>IF(PaymentSchedule[[#This Row],[PMT NO]]&lt;&gt;"",IF(ROW()-ROW(PaymentSchedule[[#Headers],[BEGINNING BALANCE]])=1,LoanAmount,INDEX(PaymentSchedule[ENDING BALANCE],ROW()-ROW(PaymentSchedule[[#Headers],[BEGINNING BALANCE]])-1)),"")</f>
        <v>8821.73879811392</v>
      </c>
      <c r="E378" s="6">
        <f>IF(PaymentSchedule[[#This Row],[PMT NO]]&lt;&gt;"",ScheduledPayment,"")</f>
        <v>839.37073521385321</v>
      </c>
      <c r="F378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378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378" s="6">
        <f>IF(PaymentSchedule[[#This Row],[PMT NO]]&lt;&gt;"",PaymentSchedule[[#This Row],[TOTAL PAYMENT]]-PaymentSchedule[[#This Row],[INTEREST]],"")</f>
        <v>795.26204122328363</v>
      </c>
      <c r="I378" s="6">
        <f>IF(PaymentSchedule[[#This Row],[PMT NO]]&lt;&gt;"",PaymentSchedule[[#This Row],[BEGINNING BALANCE]]*(InterestRate/PaymentsPerYear),"")</f>
        <v>44.108693990569598</v>
      </c>
      <c r="J378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8026.4767568906364</v>
      </c>
      <c r="K378" s="6">
        <f>IF(PaymentSchedule[[#This Row],[PMT NO]]&lt;&gt;"",SUM(INDEX(PaymentSchedule[INTEREST],1,1):PaymentSchedule[[#This Row],[INTEREST]]),"")</f>
        <v>162645.60481695313</v>
      </c>
    </row>
    <row r="379" spans="2:11" x14ac:dyDescent="0.2">
      <c r="B379" s="4">
        <f>IF(LoanIsGood,IF(ROW()-ROW(PaymentSchedule[[#Headers],[PMT NO]])&gt;ScheduledNumberOfPayments,"",ROW()-ROW(PaymentSchedule[[#Headers],[PMT NO]])),"")</f>
        <v>353</v>
      </c>
      <c r="C379" s="5">
        <f>IF(PaymentSchedule[[#This Row],[PMT NO]]&lt;&gt;"",EOMONTH(LoanStartDate,ROW(PaymentSchedule[[#This Row],[PMT NO]])-ROW(PaymentSchedule[[#Headers],[PMT NO]])-2)+DAY(LoanStartDate),"")</f>
        <v>56766</v>
      </c>
      <c r="D379" s="6">
        <f>IF(PaymentSchedule[[#This Row],[PMT NO]]&lt;&gt;"",IF(ROW()-ROW(PaymentSchedule[[#Headers],[BEGINNING BALANCE]])=1,LoanAmount,INDEX(PaymentSchedule[ENDING BALANCE],ROW()-ROW(PaymentSchedule[[#Headers],[BEGINNING BALANCE]])-1)),"")</f>
        <v>8026.4767568906364</v>
      </c>
      <c r="E379" s="6">
        <f>IF(PaymentSchedule[[#This Row],[PMT NO]]&lt;&gt;"",ScheduledPayment,"")</f>
        <v>839.37073521385321</v>
      </c>
      <c r="F379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379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379" s="6">
        <f>IF(PaymentSchedule[[#This Row],[PMT NO]]&lt;&gt;"",PaymentSchedule[[#This Row],[TOTAL PAYMENT]]-PaymentSchedule[[#This Row],[INTEREST]],"")</f>
        <v>799.23835142940004</v>
      </c>
      <c r="I379" s="6">
        <f>IF(PaymentSchedule[[#This Row],[PMT NO]]&lt;&gt;"",PaymentSchedule[[#This Row],[BEGINNING BALANCE]]*(InterestRate/PaymentsPerYear),"")</f>
        <v>40.132383784453182</v>
      </c>
      <c r="J379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7227.2384054612367</v>
      </c>
      <c r="K379" s="6">
        <f>IF(PaymentSchedule[[#This Row],[PMT NO]]&lt;&gt;"",SUM(INDEX(PaymentSchedule[INTEREST],1,1):PaymentSchedule[[#This Row],[INTEREST]]),"")</f>
        <v>162685.73720073758</v>
      </c>
    </row>
    <row r="380" spans="2:11" x14ac:dyDescent="0.2">
      <c r="B380" s="4">
        <f>IF(LoanIsGood,IF(ROW()-ROW(PaymentSchedule[[#Headers],[PMT NO]])&gt;ScheduledNumberOfPayments,"",ROW()-ROW(PaymentSchedule[[#Headers],[PMT NO]])),"")</f>
        <v>354</v>
      </c>
      <c r="C380" s="5">
        <f>IF(PaymentSchedule[[#This Row],[PMT NO]]&lt;&gt;"",EOMONTH(LoanStartDate,ROW(PaymentSchedule[[#This Row],[PMT NO]])-ROW(PaymentSchedule[[#Headers],[PMT NO]])-2)+DAY(LoanStartDate),"")</f>
        <v>56796</v>
      </c>
      <c r="D380" s="6">
        <f>IF(PaymentSchedule[[#This Row],[PMT NO]]&lt;&gt;"",IF(ROW()-ROW(PaymentSchedule[[#Headers],[BEGINNING BALANCE]])=1,LoanAmount,INDEX(PaymentSchedule[ENDING BALANCE],ROW()-ROW(PaymentSchedule[[#Headers],[BEGINNING BALANCE]])-1)),"")</f>
        <v>7227.2384054612367</v>
      </c>
      <c r="E380" s="6">
        <f>IF(PaymentSchedule[[#This Row],[PMT NO]]&lt;&gt;"",ScheduledPayment,"")</f>
        <v>839.37073521385321</v>
      </c>
      <c r="F380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380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380" s="6">
        <f>IF(PaymentSchedule[[#This Row],[PMT NO]]&lt;&gt;"",PaymentSchedule[[#This Row],[TOTAL PAYMENT]]-PaymentSchedule[[#This Row],[INTEREST]],"")</f>
        <v>803.23454318654706</v>
      </c>
      <c r="I380" s="6">
        <f>IF(PaymentSchedule[[#This Row],[PMT NO]]&lt;&gt;"",PaymentSchedule[[#This Row],[BEGINNING BALANCE]]*(InterestRate/PaymentsPerYear),"")</f>
        <v>36.136192027306187</v>
      </c>
      <c r="J380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6424.0038622746897</v>
      </c>
      <c r="K380" s="6">
        <f>IF(PaymentSchedule[[#This Row],[PMT NO]]&lt;&gt;"",SUM(INDEX(PaymentSchedule[INTEREST],1,1):PaymentSchedule[[#This Row],[INTEREST]]),"")</f>
        <v>162721.87339276489</v>
      </c>
    </row>
    <row r="381" spans="2:11" x14ac:dyDescent="0.2">
      <c r="B381" s="4">
        <f>IF(LoanIsGood,IF(ROW()-ROW(PaymentSchedule[[#Headers],[PMT NO]])&gt;ScheduledNumberOfPayments,"",ROW()-ROW(PaymentSchedule[[#Headers],[PMT NO]])),"")</f>
        <v>355</v>
      </c>
      <c r="C381" s="5">
        <f>IF(PaymentSchedule[[#This Row],[PMT NO]]&lt;&gt;"",EOMONTH(LoanStartDate,ROW(PaymentSchedule[[#This Row],[PMT NO]])-ROW(PaymentSchedule[[#Headers],[PMT NO]])-2)+DAY(LoanStartDate),"")</f>
        <v>56827</v>
      </c>
      <c r="D381" s="6">
        <f>IF(PaymentSchedule[[#This Row],[PMT NO]]&lt;&gt;"",IF(ROW()-ROW(PaymentSchedule[[#Headers],[BEGINNING BALANCE]])=1,LoanAmount,INDEX(PaymentSchedule[ENDING BALANCE],ROW()-ROW(PaymentSchedule[[#Headers],[BEGINNING BALANCE]])-1)),"")</f>
        <v>6424.0038622746897</v>
      </c>
      <c r="E381" s="6">
        <f>IF(PaymentSchedule[[#This Row],[PMT NO]]&lt;&gt;"",ScheduledPayment,"")</f>
        <v>839.37073521385321</v>
      </c>
      <c r="F381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381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381" s="6">
        <f>IF(PaymentSchedule[[#This Row],[PMT NO]]&lt;&gt;"",PaymentSchedule[[#This Row],[TOTAL PAYMENT]]-PaymentSchedule[[#This Row],[INTEREST]],"")</f>
        <v>807.25071590247978</v>
      </c>
      <c r="I381" s="6">
        <f>IF(PaymentSchedule[[#This Row],[PMT NO]]&lt;&gt;"",PaymentSchedule[[#This Row],[BEGINNING BALANCE]]*(InterestRate/PaymentsPerYear),"")</f>
        <v>32.120019311373447</v>
      </c>
      <c r="J381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5616.7531463722098</v>
      </c>
      <c r="K381" s="6">
        <f>IF(PaymentSchedule[[#This Row],[PMT NO]]&lt;&gt;"",SUM(INDEX(PaymentSchedule[INTEREST],1,1):PaymentSchedule[[#This Row],[INTEREST]]),"")</f>
        <v>162753.99341207626</v>
      </c>
    </row>
    <row r="382" spans="2:11" x14ac:dyDescent="0.2">
      <c r="B382" s="4">
        <f>IF(LoanIsGood,IF(ROW()-ROW(PaymentSchedule[[#Headers],[PMT NO]])&gt;ScheduledNumberOfPayments,"",ROW()-ROW(PaymentSchedule[[#Headers],[PMT NO]])),"")</f>
        <v>356</v>
      </c>
      <c r="C382" s="5">
        <f>IF(PaymentSchedule[[#This Row],[PMT NO]]&lt;&gt;"",EOMONTH(LoanStartDate,ROW(PaymentSchedule[[#This Row],[PMT NO]])-ROW(PaymentSchedule[[#Headers],[PMT NO]])-2)+DAY(LoanStartDate),"")</f>
        <v>56858</v>
      </c>
      <c r="D382" s="6">
        <f>IF(PaymentSchedule[[#This Row],[PMT NO]]&lt;&gt;"",IF(ROW()-ROW(PaymentSchedule[[#Headers],[BEGINNING BALANCE]])=1,LoanAmount,INDEX(PaymentSchedule[ENDING BALANCE],ROW()-ROW(PaymentSchedule[[#Headers],[BEGINNING BALANCE]])-1)),"")</f>
        <v>5616.7531463722098</v>
      </c>
      <c r="E382" s="6">
        <f>IF(PaymentSchedule[[#This Row],[PMT NO]]&lt;&gt;"",ScheduledPayment,"")</f>
        <v>839.37073521385321</v>
      </c>
      <c r="F382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382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382" s="6">
        <f>IF(PaymentSchedule[[#This Row],[PMT NO]]&lt;&gt;"",PaymentSchedule[[#This Row],[TOTAL PAYMENT]]-PaymentSchedule[[#This Row],[INTEREST]],"")</f>
        <v>811.28696948199217</v>
      </c>
      <c r="I382" s="6">
        <f>IF(PaymentSchedule[[#This Row],[PMT NO]]&lt;&gt;"",PaymentSchedule[[#This Row],[BEGINNING BALANCE]]*(InterestRate/PaymentsPerYear),"")</f>
        <v>28.08376573186105</v>
      </c>
      <c r="J382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4805.4661768902179</v>
      </c>
      <c r="K382" s="6">
        <f>IF(PaymentSchedule[[#This Row],[PMT NO]]&lt;&gt;"",SUM(INDEX(PaymentSchedule[INTEREST],1,1):PaymentSchedule[[#This Row],[INTEREST]]),"")</f>
        <v>162782.07717780813</v>
      </c>
    </row>
    <row r="383" spans="2:11" x14ac:dyDescent="0.2">
      <c r="B383" s="4">
        <f>IF(LoanIsGood,IF(ROW()-ROW(PaymentSchedule[[#Headers],[PMT NO]])&gt;ScheduledNumberOfPayments,"",ROW()-ROW(PaymentSchedule[[#Headers],[PMT NO]])),"")</f>
        <v>357</v>
      </c>
      <c r="C383" s="5">
        <f>IF(PaymentSchedule[[#This Row],[PMT NO]]&lt;&gt;"",EOMONTH(LoanStartDate,ROW(PaymentSchedule[[#This Row],[PMT NO]])-ROW(PaymentSchedule[[#Headers],[PMT NO]])-2)+DAY(LoanStartDate),"")</f>
        <v>56888</v>
      </c>
      <c r="D383" s="6">
        <f>IF(PaymentSchedule[[#This Row],[PMT NO]]&lt;&gt;"",IF(ROW()-ROW(PaymentSchedule[[#Headers],[BEGINNING BALANCE]])=1,LoanAmount,INDEX(PaymentSchedule[ENDING BALANCE],ROW()-ROW(PaymentSchedule[[#Headers],[BEGINNING BALANCE]])-1)),"")</f>
        <v>4805.4661768902179</v>
      </c>
      <c r="E383" s="6">
        <f>IF(PaymentSchedule[[#This Row],[PMT NO]]&lt;&gt;"",ScheduledPayment,"")</f>
        <v>839.37073521385321</v>
      </c>
      <c r="F383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383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383" s="6">
        <f>IF(PaymentSchedule[[#This Row],[PMT NO]]&lt;&gt;"",PaymentSchedule[[#This Row],[TOTAL PAYMENT]]-PaymentSchedule[[#This Row],[INTEREST]],"")</f>
        <v>815.34340432940212</v>
      </c>
      <c r="I383" s="6">
        <f>IF(PaymentSchedule[[#This Row],[PMT NO]]&lt;&gt;"",PaymentSchedule[[#This Row],[BEGINNING BALANCE]]*(InterestRate/PaymentsPerYear),"")</f>
        <v>24.027330884451089</v>
      </c>
      <c r="J383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3990.122772560816</v>
      </c>
      <c r="K383" s="6">
        <f>IF(PaymentSchedule[[#This Row],[PMT NO]]&lt;&gt;"",SUM(INDEX(PaymentSchedule[INTEREST],1,1):PaymentSchedule[[#This Row],[INTEREST]]),"")</f>
        <v>162806.10450869257</v>
      </c>
    </row>
    <row r="384" spans="2:11" x14ac:dyDescent="0.2">
      <c r="B384" s="4">
        <f>IF(LoanIsGood,IF(ROW()-ROW(PaymentSchedule[[#Headers],[PMT NO]])&gt;ScheduledNumberOfPayments,"",ROW()-ROW(PaymentSchedule[[#Headers],[PMT NO]])),"")</f>
        <v>358</v>
      </c>
      <c r="C384" s="5">
        <f>IF(PaymentSchedule[[#This Row],[PMT NO]]&lt;&gt;"",EOMONTH(LoanStartDate,ROW(PaymentSchedule[[#This Row],[PMT NO]])-ROW(PaymentSchedule[[#Headers],[PMT NO]])-2)+DAY(LoanStartDate),"")</f>
        <v>56919</v>
      </c>
      <c r="D384" s="6">
        <f>IF(PaymentSchedule[[#This Row],[PMT NO]]&lt;&gt;"",IF(ROW()-ROW(PaymentSchedule[[#Headers],[BEGINNING BALANCE]])=1,LoanAmount,INDEX(PaymentSchedule[ENDING BALANCE],ROW()-ROW(PaymentSchedule[[#Headers],[BEGINNING BALANCE]])-1)),"")</f>
        <v>3990.122772560816</v>
      </c>
      <c r="E384" s="6">
        <f>IF(PaymentSchedule[[#This Row],[PMT NO]]&lt;&gt;"",ScheduledPayment,"")</f>
        <v>839.37073521385321</v>
      </c>
      <c r="F384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384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384" s="6">
        <f>IF(PaymentSchedule[[#This Row],[PMT NO]]&lt;&gt;"",PaymentSchedule[[#This Row],[TOTAL PAYMENT]]-PaymentSchedule[[#This Row],[INTEREST]],"")</f>
        <v>819.42012135104915</v>
      </c>
      <c r="I384" s="6">
        <f>IF(PaymentSchedule[[#This Row],[PMT NO]]&lt;&gt;"",PaymentSchedule[[#This Row],[BEGINNING BALANCE]]*(InterestRate/PaymentsPerYear),"")</f>
        <v>19.950613862804079</v>
      </c>
      <c r="J384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3170.7026512097668</v>
      </c>
      <c r="K384" s="6">
        <f>IF(PaymentSchedule[[#This Row],[PMT NO]]&lt;&gt;"",SUM(INDEX(PaymentSchedule[INTEREST],1,1):PaymentSchedule[[#This Row],[INTEREST]]),"")</f>
        <v>162826.05512255538</v>
      </c>
    </row>
    <row r="385" spans="2:11" x14ac:dyDescent="0.2">
      <c r="B385" s="4">
        <f>IF(LoanIsGood,IF(ROW()-ROW(PaymentSchedule[[#Headers],[PMT NO]])&gt;ScheduledNumberOfPayments,"",ROW()-ROW(PaymentSchedule[[#Headers],[PMT NO]])),"")</f>
        <v>359</v>
      </c>
      <c r="C385" s="5">
        <f>IF(PaymentSchedule[[#This Row],[PMT NO]]&lt;&gt;"",EOMONTH(LoanStartDate,ROW(PaymentSchedule[[#This Row],[PMT NO]])-ROW(PaymentSchedule[[#Headers],[PMT NO]])-2)+DAY(LoanStartDate),"")</f>
        <v>56949</v>
      </c>
      <c r="D385" s="6">
        <f>IF(PaymentSchedule[[#This Row],[PMT NO]]&lt;&gt;"",IF(ROW()-ROW(PaymentSchedule[[#Headers],[BEGINNING BALANCE]])=1,LoanAmount,INDEX(PaymentSchedule[ENDING BALANCE],ROW()-ROW(PaymentSchedule[[#Headers],[BEGINNING BALANCE]])-1)),"")</f>
        <v>3170.7026512097668</v>
      </c>
      <c r="E385" s="6">
        <f>IF(PaymentSchedule[[#This Row],[PMT NO]]&lt;&gt;"",ScheduledPayment,"")</f>
        <v>839.37073521385321</v>
      </c>
      <c r="F385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385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385" s="6">
        <f>IF(PaymentSchedule[[#This Row],[PMT NO]]&lt;&gt;"",PaymentSchedule[[#This Row],[TOTAL PAYMENT]]-PaymentSchedule[[#This Row],[INTEREST]],"")</f>
        <v>823.5172219578044</v>
      </c>
      <c r="I385" s="6">
        <f>IF(PaymentSchedule[[#This Row],[PMT NO]]&lt;&gt;"",PaymentSchedule[[#This Row],[BEGINNING BALANCE]]*(InterestRate/PaymentsPerYear),"")</f>
        <v>15.853513256048835</v>
      </c>
      <c r="J385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2347.1854292519624</v>
      </c>
      <c r="K385" s="6">
        <f>IF(PaymentSchedule[[#This Row],[PMT NO]]&lt;&gt;"",SUM(INDEX(PaymentSchedule[INTEREST],1,1):PaymentSchedule[[#This Row],[INTEREST]]),"")</f>
        <v>162841.90863581141</v>
      </c>
    </row>
    <row r="386" spans="2:11" x14ac:dyDescent="0.2">
      <c r="B386" s="4">
        <f>IF(LoanIsGood,IF(ROW()-ROW(PaymentSchedule[[#Headers],[PMT NO]])&gt;ScheduledNumberOfPayments,"",ROW()-ROW(PaymentSchedule[[#Headers],[PMT NO]])),"")</f>
        <v>360</v>
      </c>
      <c r="C386" s="5">
        <f>IF(PaymentSchedule[[#This Row],[PMT NO]]&lt;&gt;"",EOMONTH(LoanStartDate,ROW(PaymentSchedule[[#This Row],[PMT NO]])-ROW(PaymentSchedule[[#Headers],[PMT NO]])-2)+DAY(LoanStartDate),"")</f>
        <v>56980</v>
      </c>
      <c r="D386" s="6">
        <f>IF(PaymentSchedule[[#This Row],[PMT NO]]&lt;&gt;"",IF(ROW()-ROW(PaymentSchedule[[#Headers],[BEGINNING BALANCE]])=1,LoanAmount,INDEX(PaymentSchedule[ENDING BALANCE],ROW()-ROW(PaymentSchedule[[#Headers],[BEGINNING BALANCE]])-1)),"")</f>
        <v>2347.1854292519624</v>
      </c>
      <c r="E386" s="6">
        <f>IF(PaymentSchedule[[#This Row],[PMT NO]]&lt;&gt;"",ScheduledPayment,"")</f>
        <v>839.37073521385321</v>
      </c>
      <c r="F386" s="6">
        <f>IF(PaymentSchedule[[#This Row],[PMT NO]]&lt;&gt;"",IF(PaymentSchedule[[#This Row],[SCHEDULED PAYMENT]]+ExtraPayments&lt;PaymentSchedule[[#This Row],[BEGINNING BALANCE]],ExtraPayments,IF(PaymentSchedule[[#This Row],[BEGINNING BALANCE]]-PaymentSchedule[[#This Row],[SCHEDULED PAYMENT]]&gt;0,PaymentSchedule[[#This Row],[BEGINNING BALANCE]]-PaymentSchedule[[#This Row],[SCHEDULED PAYMENT]],0)),"")</f>
        <v>0</v>
      </c>
      <c r="G386" s="6">
        <f>IF(PaymentSchedule[[#This Row],[PMT NO]]&lt;&gt;"",IF(PaymentSchedule[[#This Row],[SCHEDULED PAYMENT]]+PaymentSchedule[[#This Row],[EXTRA PAYMENT]]&lt;=PaymentSchedule[[#This Row],[BEGINNING BALANCE]],PaymentSchedule[[#This Row],[SCHEDULED PAYMENT]]+PaymentSchedule[[#This Row],[EXTRA PAYMENT]],PaymentSchedule[[#This Row],[BEGINNING BALANCE]]),"")</f>
        <v>839.37073521385321</v>
      </c>
      <c r="H386" s="6">
        <f>IF(PaymentSchedule[[#This Row],[PMT NO]]&lt;&gt;"",PaymentSchedule[[#This Row],[TOTAL PAYMENT]]-PaymentSchedule[[#This Row],[INTEREST]],"")</f>
        <v>827.63480806759344</v>
      </c>
      <c r="I386" s="6">
        <f>IF(PaymentSchedule[[#This Row],[PMT NO]]&lt;&gt;"",PaymentSchedule[[#This Row],[BEGINNING BALANCE]]*(InterestRate/PaymentsPerYear),"")</f>
        <v>11.735927146259812</v>
      </c>
      <c r="J386" s="6">
        <f>IF(PaymentSchedule[[#This Row],[PMT NO]]&lt;&gt;"",IF(PaymentSchedule[[#This Row],[SCHEDULED PAYMENT]]+PaymentSchedule[[#This Row],[EXTRA PAYMENT]]&lt;=PaymentSchedule[[#This Row],[BEGINNING BALANCE]],PaymentSchedule[[#This Row],[BEGINNING BALANCE]]-PaymentSchedule[[#This Row],[PRINCIPAL]],0),"")</f>
        <v>1519.550621184369</v>
      </c>
      <c r="K386" s="6">
        <f>IF(PaymentSchedule[[#This Row],[PMT NO]]&lt;&gt;"",SUM(INDEX(PaymentSchedule[INTEREST],1,1):PaymentSchedule[[#This Row],[INTEREST]]),"")</f>
        <v>162853.64456295766</v>
      </c>
    </row>
  </sheetData>
  <mergeCells count="28">
    <mergeCell ref="B24:C24"/>
    <mergeCell ref="W1:W2"/>
    <mergeCell ref="X1:X2"/>
    <mergeCell ref="B10:C10"/>
    <mergeCell ref="B11:C11"/>
    <mergeCell ref="F2:G2"/>
    <mergeCell ref="I2:J2"/>
    <mergeCell ref="E5:E7"/>
    <mergeCell ref="B5:C5"/>
    <mergeCell ref="B6:C6"/>
    <mergeCell ref="B7:C7"/>
    <mergeCell ref="B8:C8"/>
    <mergeCell ref="B9:C9"/>
    <mergeCell ref="B3:C3"/>
    <mergeCell ref="B4:C4"/>
    <mergeCell ref="B22:C22"/>
    <mergeCell ref="B23:C23"/>
    <mergeCell ref="B21:C21"/>
    <mergeCell ref="F12:G12"/>
    <mergeCell ref="B13:D13"/>
    <mergeCell ref="B14:C14"/>
    <mergeCell ref="B15:C15"/>
    <mergeCell ref="B16:C16"/>
    <mergeCell ref="B17:C17"/>
    <mergeCell ref="B18:C18"/>
    <mergeCell ref="B19:C19"/>
    <mergeCell ref="B20:C20"/>
    <mergeCell ref="F13:G13"/>
  </mergeCells>
  <conditionalFormatting sqref="B27:K386">
    <cfRule type="expression" dxfId="0" priority="1">
      <formula>($B27="")+(($D27=0)*($F27=0))</formula>
    </cfRule>
  </conditionalFormatting>
  <dataValidations count="24">
    <dataValidation allowBlank="1" showInputMessage="1" showErrorMessage="1" prompt="Enter Loan Amount in this cell" sqref="G3" xr:uid="{00000000-0002-0000-0000-000000000000}"/>
    <dataValidation allowBlank="1" showInputMessage="1" showErrorMessage="1" prompt="Enter interest rate to be paid annually in this cell" sqref="D7" xr:uid="{00000000-0002-0000-0000-000001000000}"/>
    <dataValidation allowBlank="1" showInputMessage="1" showErrorMessage="1" prompt="Enter the number of payments to be made in a year in this cell" sqref="D9" xr:uid="{00000000-0002-0000-0000-000003000000}"/>
    <dataValidation allowBlank="1" showInputMessage="1" showErrorMessage="1" prompt="Enter the start date of loan in this cell" sqref="D10" xr:uid="{00000000-0002-0000-0000-000004000000}"/>
    <dataValidation allowBlank="1" showInputMessage="1" showErrorMessage="1" prompt="Automatically updated scheduled payment amount" sqref="G4:G5" xr:uid="{00000000-0002-0000-0000-000007000000}"/>
    <dataValidation allowBlank="1" showInputMessage="1" showErrorMessage="1" prompt="Automatically updated scheduled number of payments" sqref="G6" xr:uid="{00000000-0002-0000-0000-000008000000}"/>
    <dataValidation allowBlank="1" showInputMessage="1" showErrorMessage="1" prompt="This workbook produces a loan amortization schedule that calculates total interest and total payments &amp; includes the option for extra payments" sqref="A1" xr:uid="{00000000-0002-0000-0000-00000A000000}"/>
    <dataValidation allowBlank="1" showInputMessage="1" showErrorMessage="1" prompt="Enter loan values in cells E3 to E7 and E9. Description of each loan value is in column C. Payment Schedule table starting in cell B11 will automatically update" sqref="B2" xr:uid="{00000000-0002-0000-0000-00000B000000}"/>
    <dataValidation allowBlank="1" showInputMessage="1" showErrorMessage="1" prompt="Loan Summary fields from I3 to I7 are automatically adjusted based on the values entered. Enter the Lender's name in I9" sqref="F2" xr:uid="{00000000-0002-0000-0000-00000C000000}"/>
    <dataValidation allowBlank="1" showInputMessage="1" showErrorMessage="1" prompt="Worksheet title is in this cell. Enter loan values in cells E3 to E7 &amp; extra payments in cell E9, loan summary in column I &amp; Payment Schedule table will automatically update" sqref="B1" xr:uid="{00000000-0002-0000-0000-00000D000000}"/>
    <dataValidation allowBlank="1" showInputMessage="1" showErrorMessage="1" prompt="Automatically updated total early payments" sqref="G8" xr:uid="{00000000-0002-0000-0000-00000E000000}"/>
    <dataValidation allowBlank="1" showInputMessage="1" showErrorMessage="1" prompt="Payment number is automatically updated in this column" sqref="B26" xr:uid="{00000000-0002-0000-0000-00000F000000}"/>
    <dataValidation allowBlank="1" showInputMessage="1" showErrorMessage="1" prompt="Payment date is automatically updated in this column" sqref="C26" xr:uid="{00000000-0002-0000-0000-000010000000}"/>
    <dataValidation allowBlank="1" showInputMessage="1" showErrorMessage="1" prompt="Beginning balance is automatically updated in this column" sqref="D26" xr:uid="{00000000-0002-0000-0000-000011000000}"/>
    <dataValidation allowBlank="1" showInputMessage="1" showErrorMessage="1" prompt="Scheduled payment is automatically updated in this column" sqref="E26" xr:uid="{00000000-0002-0000-0000-000012000000}"/>
    <dataValidation allowBlank="1" showInputMessage="1" showErrorMessage="1" prompt="Extra payment is automatically updated in this column" sqref="F26" xr:uid="{00000000-0002-0000-0000-000013000000}"/>
    <dataValidation allowBlank="1" showInputMessage="1" showErrorMessage="1" prompt="Total payment is automatically updated in this column" sqref="G26" xr:uid="{00000000-0002-0000-0000-000014000000}"/>
    <dataValidation allowBlank="1" showInputMessage="1" showErrorMessage="1" prompt="Principal is automatically updated in this column" sqref="H26" xr:uid="{00000000-0002-0000-0000-000015000000}"/>
    <dataValidation allowBlank="1" showInputMessage="1" showErrorMessage="1" prompt="Interest is automatically updated in this column" sqref="I26" xr:uid="{00000000-0002-0000-0000-000016000000}"/>
    <dataValidation allowBlank="1" showInputMessage="1" showErrorMessage="1" prompt="Ending balance is automatically updated in this column" sqref="J26" xr:uid="{00000000-0002-0000-0000-000017000000}"/>
    <dataValidation allowBlank="1" showInputMessage="1" showErrorMessage="1" prompt="Cumulative interest is automatically updated in this column" sqref="K26" xr:uid="{00000000-0002-0000-0000-000018000000}"/>
    <dataValidation allowBlank="1" showInputMessage="1" showErrorMessage="1" prompt="Enter loan period in years in this cell" sqref="D8" xr:uid="{00000000-0002-0000-0000-000002000000}"/>
    <dataValidation allowBlank="1" showInputMessage="1" showErrorMessage="1" prompt="Enter the amount of extra payment in this cell" sqref="D11" xr:uid="{00000000-0002-0000-0000-000005000000}"/>
    <dataValidation allowBlank="1" showInputMessage="1" showErrorMessage="1" prompt="Automatically calculated total interest" sqref="H12 D25 G9:G11" xr:uid="{00000000-0002-0000-0000-000006000000}"/>
  </dataValidations>
  <printOptions horizontalCentered="1"/>
  <pageMargins left="0.4" right="0.4" top="0.4" bottom="0.5" header="0.3" footer="0.3"/>
  <pageSetup scale="69" fitToHeight="0" orientation="landscape" r:id="rId1"/>
  <headerFooter differentFirst="1">
    <oddFooter>Page &amp;P of &amp;N</oddFooter>
  </headerFooter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79C014-47FA-42E1-860C-141EA779B144}">
  <dimension ref="A1:N5"/>
  <sheetViews>
    <sheetView workbookViewId="0">
      <selection activeCell="A6" sqref="A6"/>
    </sheetView>
  </sheetViews>
  <sheetFormatPr defaultColWidth="8.5" defaultRowHeight="12" x14ac:dyDescent="0.2"/>
  <cols>
    <col min="1" max="1" width="7.875" style="39" bestFit="1" customWidth="1"/>
    <col min="2" max="4" width="8.875" style="39" bestFit="1" customWidth="1"/>
    <col min="5" max="5" width="2.5" style="39" customWidth="1"/>
    <col min="6" max="8" width="8.5" style="39"/>
    <col min="9" max="9" width="8.875" style="39" bestFit="1" customWidth="1"/>
    <col min="10" max="10" width="2.875" style="39" customWidth="1"/>
    <col min="11" max="13" width="8.5" style="39"/>
    <col min="14" max="14" width="8.875" style="39" bestFit="1" customWidth="1"/>
    <col min="15" max="16384" width="8.5" style="39"/>
  </cols>
  <sheetData>
    <row r="1" spans="1:14" x14ac:dyDescent="0.2">
      <c r="A1" s="54"/>
      <c r="B1" s="54"/>
      <c r="C1" s="54" t="s">
        <v>70</v>
      </c>
      <c r="D1" s="54"/>
      <c r="E1" s="54"/>
      <c r="F1" s="54"/>
      <c r="G1" s="54"/>
      <c r="H1" s="55"/>
      <c r="I1" s="55"/>
      <c r="J1" s="55"/>
      <c r="K1" s="55"/>
      <c r="L1" s="55"/>
      <c r="M1" s="55"/>
      <c r="N1" s="55"/>
    </row>
    <row r="2" spans="1:14" x14ac:dyDescent="0.2">
      <c r="A2" s="54"/>
      <c r="B2" s="54"/>
      <c r="C2" s="54" t="s">
        <v>71</v>
      </c>
      <c r="D2" s="54"/>
      <c r="E2" s="54"/>
      <c r="F2" s="54"/>
      <c r="G2" s="54"/>
      <c r="H2" s="55"/>
      <c r="I2" s="55"/>
      <c r="J2" s="55"/>
      <c r="K2" s="55"/>
      <c r="L2" s="55"/>
      <c r="M2" s="55"/>
      <c r="N2" s="55"/>
    </row>
    <row r="3" spans="1:14" x14ac:dyDescent="0.2">
      <c r="A3" s="54"/>
      <c r="B3" s="56">
        <v>2401.34</v>
      </c>
      <c r="C3" s="54"/>
      <c r="D3" s="57">
        <v>601926.39</v>
      </c>
      <c r="E3" s="54"/>
      <c r="F3" s="58">
        <v>19998</v>
      </c>
      <c r="G3" s="54"/>
      <c r="H3" s="55"/>
      <c r="I3" s="55"/>
      <c r="J3" s="55"/>
      <c r="K3" s="55"/>
      <c r="L3" s="55"/>
      <c r="M3" s="55"/>
      <c r="N3" s="55"/>
    </row>
    <row r="4" spans="1:14" ht="12.75" thickBot="1" x14ac:dyDescent="0.25">
      <c r="A4" s="54"/>
      <c r="B4" s="59" t="s">
        <v>72</v>
      </c>
      <c r="C4" s="54"/>
      <c r="D4" s="60" t="s">
        <v>73</v>
      </c>
      <c r="E4" s="54"/>
      <c r="F4" s="61" t="s">
        <v>74</v>
      </c>
      <c r="G4" s="54"/>
      <c r="H4" s="55"/>
      <c r="I4" s="55"/>
      <c r="J4" s="55"/>
      <c r="K4" s="55"/>
      <c r="L4" s="55"/>
      <c r="M4" s="55"/>
      <c r="N4" s="55"/>
    </row>
    <row r="5" spans="1:14" ht="12.75" thickBot="1" x14ac:dyDescent="0.25">
      <c r="A5" s="62" t="s">
        <v>57</v>
      </c>
      <c r="B5" s="63" t="s">
        <v>58</v>
      </c>
      <c r="C5" s="64" t="s">
        <v>59</v>
      </c>
      <c r="D5" s="65" t="s">
        <v>60</v>
      </c>
      <c r="E5" s="55"/>
      <c r="F5" s="62" t="s">
        <v>57</v>
      </c>
      <c r="G5" s="63" t="s">
        <v>58</v>
      </c>
      <c r="H5" s="64" t="s">
        <v>59</v>
      </c>
      <c r="I5" s="65" t="s">
        <v>60</v>
      </c>
      <c r="J5" s="55"/>
      <c r="K5" s="62" t="s">
        <v>57</v>
      </c>
      <c r="L5" s="63" t="s">
        <v>58</v>
      </c>
      <c r="M5" s="64" t="s">
        <v>59</v>
      </c>
      <c r="N5" s="65" t="s">
        <v>60</v>
      </c>
    </row>
  </sheetData>
  <printOptions headings="1" gridLines="1"/>
  <pageMargins left="0.7" right="0.7" top="0.75" bottom="0.75" header="0.3" footer="0.3"/>
  <pageSetup scale="74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D4CB864EEE75C4DBE9284DD9CF9E820" ma:contentTypeVersion="10" ma:contentTypeDescription="Create a new document." ma:contentTypeScope="" ma:versionID="9d22229c42803ce865b6518fefbf91a3">
  <xsd:schema xmlns:xsd="http://www.w3.org/2001/XMLSchema" xmlns:xs="http://www.w3.org/2001/XMLSchema" xmlns:p="http://schemas.microsoft.com/office/2006/metadata/properties" xmlns:ns2="7416c18c-cd51-47ae-a0f9-30885b89d838" xmlns:ns3="de8242f6-e587-45cf-8889-71d756fde21f" targetNamespace="http://schemas.microsoft.com/office/2006/metadata/properties" ma:root="true" ma:fieldsID="20d2affc8669c0f10cc460fa4bf37562" ns2:_="" ns3:_="">
    <xsd:import namespace="7416c18c-cd51-47ae-a0f9-30885b89d838"/>
    <xsd:import namespace="de8242f6-e587-45cf-8889-71d756fde21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Location" minOccurs="0"/>
                <xsd:element ref="ns2:MediaServiceOCR" minOccurs="0"/>
                <xsd:element ref="ns3:SharedWithUsers" minOccurs="0"/>
                <xsd:element ref="ns3:SharedWithDetails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416c18c-cd51-47ae-a0f9-30885b89d83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Location" ma:index="12" nillable="true" ma:displayName="Location" ma:internalName="MediaServiceLocatio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e8242f6-e587-45cf-8889-71d756fde21f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5F2B5DE-35E2-422F-A154-6BF2380A265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416c18c-cd51-47ae-a0f9-30885b89d838"/>
    <ds:schemaRef ds:uri="de8242f6-e587-45cf-8889-71d756fde21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E0F3CF63-D208-490F-B0B4-45DF3F63A501}">
  <ds:schemaRefs>
    <ds:schemaRef ds:uri="http://purl.org/dc/elements/1.1/"/>
    <ds:schemaRef ds:uri="http://schemas.microsoft.com/office/2006/metadata/properties"/>
    <ds:schemaRef ds:uri="http://purl.org/dc/terms/"/>
    <ds:schemaRef ds:uri="de8242f6-e587-45cf-8889-71d756fde21f"/>
    <ds:schemaRef ds:uri="http://schemas.microsoft.com/office/2006/documentManagement/types"/>
    <ds:schemaRef ds:uri="http://schemas.microsoft.com/office/infopath/2007/PartnerControls"/>
    <ds:schemaRef ds:uri="7416c18c-cd51-47ae-a0f9-30885b89d838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CFC45AFB-B9D3-4C06-9A0A-26E46734307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14</vt:i4>
      </vt:variant>
    </vt:vector>
  </HeadingPairs>
  <TitlesOfParts>
    <vt:vector size="16" baseType="lpstr">
      <vt:lpstr>Mack-1</vt:lpstr>
      <vt:lpstr>MACK-2</vt:lpstr>
      <vt:lpstr>ColumnTitle1</vt:lpstr>
      <vt:lpstr>End_Bal</vt:lpstr>
      <vt:lpstr>ExtraPayments</vt:lpstr>
      <vt:lpstr>InterestRate</vt:lpstr>
      <vt:lpstr>LoanAmount</vt:lpstr>
      <vt:lpstr>LoanPeriod</vt:lpstr>
      <vt:lpstr>LoanStartDate</vt:lpstr>
      <vt:lpstr>PaymentsPerYear</vt:lpstr>
      <vt:lpstr>'Mack-1'!Print_Titles</vt:lpstr>
      <vt:lpstr>RowTitleRegion1..E9</vt:lpstr>
      <vt:lpstr>RowTitleRegion2..I7</vt:lpstr>
      <vt:lpstr>RowTitleRegion3..E9</vt:lpstr>
      <vt:lpstr>ScheduledNumberOfPayments</vt:lpstr>
      <vt:lpstr>ScheduledPayment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david</dc:creator>
  <cp:keywords/>
  <dc:description/>
  <cp:lastModifiedBy>Kim-Anh Patel</cp:lastModifiedBy>
  <cp:revision/>
  <dcterms:created xsi:type="dcterms:W3CDTF">2016-12-02T10:43:28Z</dcterms:created>
  <dcterms:modified xsi:type="dcterms:W3CDTF">2026-01-02T03:46:34Z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0x0101007D4CB864EEE75C4DBE9284DD9CF9E820</vt:lpwstr>
  </property>
</Properties>
</file>